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-010-001-13551 fi 2023\"/>
    </mc:Choice>
  </mc:AlternateContent>
  <bookViews>
    <workbookView xWindow="0" yWindow="0" windowWidth="28800" windowHeight="13020" activeTab="3"/>
  </bookViews>
  <sheets>
    <sheet name="opći dio" sheetId="1" r:id="rId1"/>
    <sheet name="izvršenje finacijskog plana" sheetId="2" r:id="rId2"/>
    <sheet name="izvršenje - klasifikacija i izv" sheetId="3" r:id="rId3"/>
    <sheet name="rashodi po izvorima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2" l="1"/>
  <c r="H65" i="2"/>
  <c r="H64" i="2"/>
  <c r="H41" i="2" l="1"/>
  <c r="H90" i="2" l="1"/>
  <c r="G90" i="2"/>
  <c r="H89" i="2"/>
  <c r="H88" i="2"/>
  <c r="F24" i="2" l="1"/>
  <c r="E41" i="3"/>
  <c r="E162" i="4"/>
  <c r="E102" i="4" l="1"/>
  <c r="E58" i="4"/>
  <c r="E56" i="4"/>
  <c r="E19" i="4" l="1"/>
  <c r="E18" i="4"/>
  <c r="E17" i="4"/>
  <c r="E13" i="4"/>
  <c r="E11" i="4"/>
  <c r="E9" i="4"/>
  <c r="E84" i="4" l="1"/>
  <c r="F119" i="4"/>
  <c r="E119" i="4"/>
  <c r="E117" i="4"/>
  <c r="E116" i="4"/>
  <c r="E113" i="4"/>
  <c r="E111" i="4"/>
  <c r="E109" i="4"/>
  <c r="E193" i="4" l="1"/>
  <c r="E182" i="4"/>
  <c r="E175" i="4"/>
  <c r="E168" i="4"/>
  <c r="E161" i="4"/>
  <c r="E159" i="4"/>
  <c r="E156" i="4"/>
  <c r="E152" i="4"/>
  <c r="E150" i="4"/>
  <c r="E157" i="4"/>
  <c r="E146" i="4"/>
  <c r="E184" i="4"/>
  <c r="E178" i="4"/>
  <c r="E148" i="4"/>
  <c r="E147" i="4"/>
  <c r="E155" i="4" l="1"/>
  <c r="D162" i="4"/>
  <c r="D146" i="4"/>
  <c r="D157" i="4"/>
  <c r="D156" i="4"/>
  <c r="D152" i="4"/>
  <c r="D150" i="4"/>
  <c r="D193" i="4"/>
  <c r="D182" i="4"/>
  <c r="D161" i="4"/>
  <c r="D148" i="4"/>
  <c r="D147" i="4"/>
  <c r="D174" i="4"/>
  <c r="D112" i="4"/>
  <c r="D78" i="4"/>
  <c r="F77" i="4"/>
  <c r="F76" i="4"/>
  <c r="D9" i="4"/>
  <c r="F75" i="4" l="1"/>
  <c r="D47" i="4"/>
  <c r="D58" i="4"/>
  <c r="D56" i="4" s="1"/>
  <c r="D18" i="4"/>
  <c r="D36" i="4"/>
  <c r="D35" i="4"/>
  <c r="D24" i="4"/>
  <c r="D17" i="4"/>
  <c r="D13" i="4"/>
  <c r="D11" i="4"/>
  <c r="C56" i="4"/>
  <c r="E44" i="3" l="1"/>
  <c r="D44" i="3" l="1"/>
  <c r="E43" i="3"/>
  <c r="E31" i="3"/>
  <c r="E33" i="3"/>
  <c r="E25" i="3"/>
  <c r="E21" i="3"/>
  <c r="D21" i="3"/>
  <c r="E19" i="3"/>
  <c r="E14" i="3"/>
  <c r="F14" i="3" s="1"/>
  <c r="F16" i="3"/>
  <c r="F15" i="3"/>
  <c r="E10" i="3"/>
  <c r="F10" i="3"/>
  <c r="F8" i="3"/>
  <c r="F7" i="3"/>
  <c r="C33" i="3"/>
  <c r="D33" i="3"/>
  <c r="D43" i="3"/>
  <c r="D29" i="3"/>
  <c r="D26" i="3"/>
  <c r="D10" i="3" l="1"/>
  <c r="H92" i="2"/>
  <c r="D71" i="2"/>
  <c r="D39" i="2"/>
  <c r="D44" i="2"/>
  <c r="D49" i="2"/>
  <c r="D69" i="2"/>
  <c r="D84" i="2" l="1"/>
  <c r="D81" i="2"/>
  <c r="D80" i="2"/>
  <c r="D73" i="2"/>
  <c r="D70" i="2"/>
  <c r="D68" i="2" l="1"/>
  <c r="D63" i="2"/>
  <c r="D62" i="2"/>
  <c r="D61" i="2"/>
  <c r="D59" i="2"/>
  <c r="D58" i="2"/>
  <c r="D57" i="2"/>
  <c r="D56" i="2"/>
  <c r="D55" i="2"/>
  <c r="D52" i="2"/>
  <c r="D51" i="2"/>
  <c r="D50" i="2"/>
  <c r="D48" i="2"/>
  <c r="D46" i="2"/>
  <c r="D45" i="2"/>
  <c r="D43" i="2"/>
  <c r="D37" i="2"/>
  <c r="D32" i="2"/>
  <c r="D18" i="2"/>
  <c r="D15" i="2"/>
  <c r="D12" i="2"/>
  <c r="D11" i="1" l="1"/>
  <c r="C12" i="1" l="1"/>
  <c r="C13" i="1"/>
  <c r="E60" i="4" l="1"/>
  <c r="E96" i="4" l="1"/>
  <c r="E202" i="4" l="1"/>
  <c r="D202" i="4"/>
  <c r="D118" i="4"/>
  <c r="D122" i="4"/>
  <c r="E129" i="4"/>
  <c r="D129" i="4"/>
  <c r="E108" i="4"/>
  <c r="D10" i="4"/>
  <c r="E10" i="4"/>
  <c r="D53" i="4"/>
  <c r="C53" i="4"/>
  <c r="E8" i="4"/>
  <c r="D8" i="4"/>
  <c r="E118" i="4"/>
  <c r="E115" i="4"/>
  <c r="D115" i="4"/>
  <c r="C108" i="4"/>
  <c r="E110" i="4"/>
  <c r="D110" i="4"/>
  <c r="E112" i="4"/>
  <c r="D108" i="4"/>
  <c r="D98" i="4"/>
  <c r="D96" i="4"/>
  <c r="D102" i="4" s="1"/>
  <c r="D107" i="4" l="1"/>
  <c r="E107" i="4"/>
  <c r="D114" i="4"/>
  <c r="D139" i="4" s="1"/>
  <c r="C202" i="4"/>
  <c r="C136" i="4"/>
  <c r="C134" i="4"/>
  <c r="C132" i="4"/>
  <c r="C110" i="4"/>
  <c r="C96" i="4"/>
  <c r="C199" i="4" l="1"/>
  <c r="C192" i="4"/>
  <c r="C188" i="4"/>
  <c r="C187" i="4" s="1"/>
  <c r="C179" i="4"/>
  <c r="C177" i="4"/>
  <c r="C167" i="4"/>
  <c r="C160" i="4"/>
  <c r="C155" i="4"/>
  <c r="C151" i="4"/>
  <c r="C149" i="4"/>
  <c r="C145" i="4"/>
  <c r="C129" i="4"/>
  <c r="C122" i="4"/>
  <c r="C118" i="4"/>
  <c r="C115" i="4"/>
  <c r="C112" i="4"/>
  <c r="C107" i="4" s="1"/>
  <c r="C98" i="4"/>
  <c r="C84" i="4"/>
  <c r="C78" i="4"/>
  <c r="C49" i="4"/>
  <c r="C48" i="4" s="1"/>
  <c r="C40" i="4"/>
  <c r="C28" i="4"/>
  <c r="C21" i="4"/>
  <c r="C16" i="4"/>
  <c r="C12" i="4"/>
  <c r="C10" i="4"/>
  <c r="C8" i="4"/>
  <c r="C7" i="4"/>
  <c r="G15" i="2"/>
  <c r="G19" i="2"/>
  <c r="D14" i="3"/>
  <c r="D19" i="3" s="1"/>
  <c r="D31" i="3"/>
  <c r="D25" i="3"/>
  <c r="C31" i="3"/>
  <c r="C25" i="3"/>
  <c r="F30" i="3"/>
  <c r="F26" i="3"/>
  <c r="C19" i="3"/>
  <c r="C14" i="3"/>
  <c r="C10" i="3"/>
  <c r="D6" i="2"/>
  <c r="E6" i="2"/>
  <c r="F6" i="2"/>
  <c r="D9" i="2"/>
  <c r="E9" i="2"/>
  <c r="F9" i="2"/>
  <c r="E12" i="2"/>
  <c r="F12" i="2"/>
  <c r="F14" i="2"/>
  <c r="D14" i="2"/>
  <c r="D31" i="2"/>
  <c r="E31" i="2"/>
  <c r="F31" i="2"/>
  <c r="D36" i="2"/>
  <c r="E36" i="2"/>
  <c r="F36" i="2"/>
  <c r="D38" i="2"/>
  <c r="F38" i="2"/>
  <c r="F42" i="2"/>
  <c r="D42" i="2"/>
  <c r="E47" i="2"/>
  <c r="E43" i="2" s="1"/>
  <c r="E42" i="2" s="1"/>
  <c r="F47" i="2"/>
  <c r="D47" i="2"/>
  <c r="E54" i="2"/>
  <c r="F54" i="2"/>
  <c r="D54" i="2"/>
  <c r="D64" i="2"/>
  <c r="E64" i="2"/>
  <c r="F64" i="2"/>
  <c r="E66" i="2"/>
  <c r="F66" i="2"/>
  <c r="D66" i="2"/>
  <c r="E74" i="2"/>
  <c r="D75" i="2"/>
  <c r="D74" i="2" s="1"/>
  <c r="E75" i="2"/>
  <c r="F75" i="2"/>
  <c r="F74" i="2" s="1"/>
  <c r="E79" i="2"/>
  <c r="F79" i="2"/>
  <c r="D79" i="2"/>
  <c r="D83" i="2"/>
  <c r="D82" i="2" s="1"/>
  <c r="E83" i="2"/>
  <c r="E82" i="2" s="1"/>
  <c r="F83" i="2"/>
  <c r="F82" i="2" s="1"/>
  <c r="D88" i="2"/>
  <c r="E88" i="2"/>
  <c r="F88" i="2"/>
  <c r="D91" i="2"/>
  <c r="E91" i="2"/>
  <c r="E86" i="2" s="1"/>
  <c r="F91" i="2"/>
  <c r="H34" i="2"/>
  <c r="G34" i="2"/>
  <c r="H33" i="2"/>
  <c r="G33" i="2"/>
  <c r="F23" i="2" l="1"/>
  <c r="F86" i="2"/>
  <c r="F41" i="2"/>
  <c r="F30" i="2"/>
  <c r="D86" i="2"/>
  <c r="D30" i="2"/>
  <c r="D23" i="2"/>
  <c r="D24" i="2" s="1"/>
  <c r="C144" i="4"/>
  <c r="C114" i="4"/>
  <c r="C139" i="4" s="1"/>
  <c r="C102" i="4"/>
  <c r="C15" i="4"/>
  <c r="C70" i="4" s="1"/>
  <c r="C154" i="4"/>
  <c r="E41" i="2"/>
  <c r="E39" i="2" s="1"/>
  <c r="E38" i="2" s="1"/>
  <c r="E30" i="2" s="1"/>
  <c r="E29" i="2" s="1"/>
  <c r="D41" i="2"/>
  <c r="D29" i="2" s="1"/>
  <c r="C91" i="2"/>
  <c r="C86" i="2" s="1"/>
  <c r="C88" i="2"/>
  <c r="C83" i="2"/>
  <c r="C82" i="2" s="1"/>
  <c r="C79" i="2"/>
  <c r="C75" i="2"/>
  <c r="C74" i="2" s="1"/>
  <c r="C66" i="2"/>
  <c r="C64" i="2"/>
  <c r="C54" i="2"/>
  <c r="C47" i="2"/>
  <c r="C42" i="2"/>
  <c r="C31" i="2"/>
  <c r="C30" i="2"/>
  <c r="C36" i="2"/>
  <c r="C38" i="2"/>
  <c r="C17" i="2"/>
  <c r="C18" i="2"/>
  <c r="F29" i="2" l="1"/>
  <c r="C41" i="2"/>
  <c r="C29" i="2"/>
  <c r="C20" i="2"/>
  <c r="C19" i="2"/>
  <c r="C15" i="2"/>
  <c r="C14" i="2" s="1"/>
  <c r="C13" i="2"/>
  <c r="C12" i="2" s="1"/>
  <c r="C11" i="2"/>
  <c r="C10" i="2"/>
  <c r="C7" i="2"/>
  <c r="C6" i="2" s="1"/>
  <c r="C11" i="1"/>
  <c r="B18" i="1"/>
  <c r="B17" i="1"/>
  <c r="B14" i="1"/>
  <c r="B13" i="1"/>
  <c r="B12" i="1"/>
  <c r="B11" i="1"/>
  <c r="B9" i="1"/>
  <c r="B8" i="1" s="1"/>
  <c r="C9" i="2" l="1"/>
  <c r="C23" i="2"/>
  <c r="C24" i="2" s="1"/>
  <c r="E78" i="4" l="1"/>
  <c r="E145" i="4" l="1"/>
  <c r="E151" i="4" l="1"/>
  <c r="D199" i="4"/>
  <c r="E199" i="4"/>
  <c r="D177" i="4"/>
  <c r="E160" i="4"/>
  <c r="E188" i="4"/>
  <c r="E192" i="4"/>
  <c r="E177" i="4"/>
  <c r="E98" i="4"/>
  <c r="F98" i="4" s="1"/>
  <c r="E187" i="4" l="1"/>
  <c r="E149" i="4"/>
  <c r="E167" i="4"/>
  <c r="E122" i="4"/>
  <c r="E144" i="4" l="1"/>
  <c r="E114" i="4"/>
  <c r="E139" i="4" s="1"/>
  <c r="F102" i="4" l="1"/>
  <c r="F95" i="4"/>
  <c r="F93" i="4"/>
  <c r="F82" i="4"/>
  <c r="E12" i="4" l="1"/>
  <c r="F78" i="4"/>
  <c r="E7" i="4" l="1"/>
  <c r="F157" i="4"/>
  <c r="D151" i="4"/>
  <c r="F151" i="4" s="1"/>
  <c r="D149" i="4"/>
  <c r="F149" i="4" s="1"/>
  <c r="D192" i="4"/>
  <c r="F192" i="4" s="1"/>
  <c r="F184" i="4"/>
  <c r="F174" i="4"/>
  <c r="F162" i="4"/>
  <c r="D160" i="4"/>
  <c r="F160" i="4" s="1"/>
  <c r="F152" i="4"/>
  <c r="F148" i="4"/>
  <c r="F147" i="4"/>
  <c r="D188" i="4"/>
  <c r="D187" i="4" s="1"/>
  <c r="F186" i="4"/>
  <c r="F182" i="4"/>
  <c r="F176" i="4"/>
  <c r="F175" i="4"/>
  <c r="F170" i="4"/>
  <c r="F159" i="4"/>
  <c r="F203" i="4"/>
  <c r="F202" i="4"/>
  <c r="F183" i="4"/>
  <c r="F178" i="4"/>
  <c r="F177" i="4"/>
  <c r="F150" i="4"/>
  <c r="F130" i="4"/>
  <c r="F129" i="4"/>
  <c r="F127" i="4"/>
  <c r="F124" i="4"/>
  <c r="F122" i="4"/>
  <c r="F117" i="4"/>
  <c r="F113" i="4"/>
  <c r="F112" i="4"/>
  <c r="F111" i="4"/>
  <c r="F110" i="4"/>
  <c r="F58" i="4"/>
  <c r="F56" i="4"/>
  <c r="F52" i="4"/>
  <c r="F50" i="4"/>
  <c r="F45" i="4"/>
  <c r="F44" i="4"/>
  <c r="F43" i="4"/>
  <c r="F37" i="4"/>
  <c r="F35" i="4"/>
  <c r="F34" i="4"/>
  <c r="F33" i="4"/>
  <c r="F32" i="4"/>
  <c r="F31" i="4"/>
  <c r="F30" i="4"/>
  <c r="F29" i="4"/>
  <c r="F27" i="4"/>
  <c r="F26" i="4"/>
  <c r="F25" i="4"/>
  <c r="F24" i="4"/>
  <c r="F23" i="4"/>
  <c r="F22" i="4"/>
  <c r="F20" i="4"/>
  <c r="F19" i="4"/>
  <c r="F11" i="4"/>
  <c r="F10" i="4"/>
  <c r="F8" i="4"/>
  <c r="F193" i="4" l="1"/>
  <c r="F146" i="4"/>
  <c r="D145" i="4"/>
  <c r="D144" i="4" s="1"/>
  <c r="F161" i="4"/>
  <c r="F181" i="4"/>
  <c r="D179" i="4"/>
  <c r="F156" i="4"/>
  <c r="D155" i="4"/>
  <c r="F168" i="4"/>
  <c r="D167" i="4"/>
  <c r="F167" i="4" s="1"/>
  <c r="F120" i="4"/>
  <c r="F109" i="4"/>
  <c r="E49" i="4"/>
  <c r="D49" i="4"/>
  <c r="D48" i="4" s="1"/>
  <c r="D21" i="4"/>
  <c r="F18" i="4"/>
  <c r="F17" i="4"/>
  <c r="F47" i="4"/>
  <c r="F36" i="4"/>
  <c r="F13" i="4" l="1"/>
  <c r="D12" i="4"/>
  <c r="F12" i="4" s="1"/>
  <c r="D154" i="4"/>
  <c r="D204" i="4" s="1"/>
  <c r="F155" i="4"/>
  <c r="D28" i="4"/>
  <c r="D40" i="4"/>
  <c r="D16" i="4"/>
  <c r="F49" i="4"/>
  <c r="E48" i="4"/>
  <c r="D15" i="4" l="1"/>
  <c r="F48" i="4"/>
  <c r="F9" i="4"/>
  <c r="D7" i="4"/>
  <c r="F7" i="4" s="1"/>
  <c r="G29" i="2"/>
  <c r="D70" i="4" l="1"/>
  <c r="H15" i="2"/>
  <c r="E179" i="4" l="1"/>
  <c r="D8" i="1"/>
  <c r="D14" i="1" s="1"/>
  <c r="D18" i="1" s="1"/>
  <c r="C8" i="1"/>
  <c r="F179" i="4" l="1"/>
  <c r="E154" i="4"/>
  <c r="F118" i="4"/>
  <c r="E204" i="4" l="1"/>
  <c r="F154" i="4"/>
  <c r="E21" i="4"/>
  <c r="E16" i="4"/>
  <c r="E28" i="4"/>
  <c r="E40" i="4"/>
  <c r="F145" i="4"/>
  <c r="F144" i="4"/>
  <c r="K73" i="4" l="1"/>
  <c r="XFD98" i="4"/>
  <c r="F204" i="4"/>
  <c r="E15" i="4"/>
  <c r="E70" i="4" s="1"/>
  <c r="F40" i="4"/>
  <c r="F28" i="4"/>
  <c r="F21" i="4"/>
  <c r="F16" i="4"/>
  <c r="F15" i="4" l="1"/>
  <c r="F115" i="4"/>
  <c r="F107" i="4"/>
  <c r="F108" i="4"/>
  <c r="F70" i="4" l="1"/>
  <c r="F114" i="4"/>
  <c r="F139" i="4"/>
  <c r="G92" i="2"/>
  <c r="H91" i="2"/>
  <c r="G91" i="2"/>
  <c r="G89" i="2"/>
  <c r="G88" i="2"/>
  <c r="H86" i="2"/>
  <c r="G86" i="2"/>
  <c r="H84" i="2"/>
  <c r="G84" i="2"/>
  <c r="H83" i="2"/>
  <c r="H82" i="2"/>
  <c r="G82" i="2"/>
  <c r="H81" i="2"/>
  <c r="G81" i="2"/>
  <c r="H80" i="2"/>
  <c r="G80" i="2"/>
  <c r="H79" i="2"/>
  <c r="G79" i="2"/>
  <c r="H78" i="2"/>
  <c r="G78" i="2"/>
  <c r="H76" i="2"/>
  <c r="G76" i="2"/>
  <c r="H75" i="2"/>
  <c r="G75" i="2"/>
  <c r="H74" i="2"/>
  <c r="G74" i="2"/>
  <c r="H73" i="2"/>
  <c r="G73" i="2"/>
  <c r="G72" i="2"/>
  <c r="H71" i="2"/>
  <c r="G71" i="2"/>
  <c r="H70" i="2"/>
  <c r="G70" i="2"/>
  <c r="H69" i="2"/>
  <c r="G69" i="2"/>
  <c r="H68" i="2"/>
  <c r="G68" i="2"/>
  <c r="H66" i="2"/>
  <c r="G66" i="2"/>
  <c r="G65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G42" i="2"/>
  <c r="G41" i="2"/>
  <c r="G40" i="2"/>
  <c r="H39" i="2"/>
  <c r="G39" i="2"/>
  <c r="H38" i="2"/>
  <c r="G38" i="2"/>
  <c r="H37" i="2"/>
  <c r="G37" i="2"/>
  <c r="H36" i="2"/>
  <c r="G36" i="2"/>
  <c r="H32" i="2"/>
  <c r="G32" i="2"/>
  <c r="H31" i="2"/>
  <c r="G31" i="2"/>
  <c r="G30" i="2"/>
  <c r="F41" i="3"/>
  <c r="F40" i="3"/>
  <c r="F39" i="3"/>
  <c r="F33" i="3"/>
  <c r="F29" i="3"/>
  <c r="F28" i="3"/>
  <c r="F25" i="3"/>
  <c r="F23" i="3"/>
  <c r="F22" i="3"/>
  <c r="F21" i="3"/>
  <c r="F19" i="3"/>
  <c r="F31" i="3"/>
  <c r="H29" i="2" l="1"/>
  <c r="H42" i="2"/>
  <c r="H30" i="2"/>
  <c r="H24" i="2" l="1"/>
  <c r="G24" i="2"/>
  <c r="H23" i="2"/>
  <c r="G23" i="2"/>
  <c r="G20" i="2"/>
  <c r="H18" i="2"/>
  <c r="G18" i="2"/>
  <c r="H17" i="2"/>
  <c r="G17" i="2"/>
  <c r="H14" i="2"/>
  <c r="G14" i="2"/>
  <c r="H13" i="2"/>
  <c r="G13" i="2"/>
  <c r="H12" i="2"/>
  <c r="G12" i="2"/>
  <c r="H11" i="2"/>
  <c r="G11" i="2"/>
  <c r="H10" i="2"/>
  <c r="G10" i="2"/>
  <c r="H9" i="2"/>
  <c r="G9" i="2"/>
  <c r="H7" i="2"/>
  <c r="G7" i="2"/>
  <c r="H6" i="2"/>
  <c r="G6" i="2"/>
  <c r="G83" i="2"/>
  <c r="C204" i="4"/>
  <c r="F44" i="3"/>
  <c r="F43" i="3"/>
</calcChain>
</file>

<file path=xl/sharedStrings.xml><?xml version="1.0" encoding="utf-8"?>
<sst xmlns="http://schemas.openxmlformats.org/spreadsheetml/2006/main" count="419" uniqueCount="178">
  <si>
    <t>PRIHODI/ RASHODI TEKUĆA  GODINA</t>
  </si>
  <si>
    <t>PRIHODI  UKUPNO</t>
  </si>
  <si>
    <t>Prihod poslovanja</t>
  </si>
  <si>
    <t>Prihod od prodaje nefinacijske imovine</t>
  </si>
  <si>
    <t>RASHOD UKUPNO</t>
  </si>
  <si>
    <t>Rashod poslovanja</t>
  </si>
  <si>
    <t>Rashod za nefinancijsku imovinu</t>
  </si>
  <si>
    <t>RAZLKA- VIŠAK/ MANJAK</t>
  </si>
  <si>
    <t>Plan proračuna 2021.</t>
  </si>
  <si>
    <t>IZVRŠENJE 2020.</t>
  </si>
  <si>
    <t>IZVRŠENJE    2021.</t>
  </si>
  <si>
    <t>ODNOS/DONOS</t>
  </si>
  <si>
    <t>RAČUN FINANCIRANJA</t>
  </si>
  <si>
    <t>Primici od financijske imovine i zaduživanja</t>
  </si>
  <si>
    <t>Izdaci za financijsku imovinu i otplate  zajmova</t>
  </si>
  <si>
    <t>NETO FINANCIRANJE</t>
  </si>
  <si>
    <t>VIŠAK/MANJAK + DONOS + ODNOS + NETO FINANCIRANJE</t>
  </si>
  <si>
    <t>Račun prihoda/primitaka</t>
  </si>
  <si>
    <t>NAZIV RAČUNA</t>
  </si>
  <si>
    <t>Tekući plan 2021.</t>
  </si>
  <si>
    <t>Indeks</t>
  </si>
  <si>
    <t>OPĆI DIO</t>
  </si>
  <si>
    <t>6=5/2*100</t>
  </si>
  <si>
    <t>Prihodi iz nadležnog  proračuna za  finaciranje rashoda poslovanja</t>
  </si>
  <si>
    <t>Prihodi iz nadležnog  proračuna za  finaciranje rashodaza nabavu nefinanacijske imovine</t>
  </si>
  <si>
    <t>Prihodi iz nadležnog proračuna i od HZZO-a temeljem ugovornih obveza</t>
  </si>
  <si>
    <t>Prihodi od prodaje proizvoda i roba te pruženih usluga i prihodi od donacija</t>
  </si>
  <si>
    <t>Prihodi od prodaje proizvoda i roba te pruženih usluga</t>
  </si>
  <si>
    <t>PRIHODI po posebnim propisima</t>
  </si>
  <si>
    <t>Sufinaciranje cijene usluge, participacije i slično</t>
  </si>
  <si>
    <t>Pomoći iz inozemstva i od subjekata unutar općeg proračuna</t>
  </si>
  <si>
    <t>Pomoći od izvanproračunskih korisnika</t>
  </si>
  <si>
    <t>Pomoći proračunskim korisnicima iz proračuna  koji im nije nadležan</t>
  </si>
  <si>
    <t>Pomoći  temeljem prijenosa EU sredstava</t>
  </si>
  <si>
    <t>UKUPNI PRIHODI + VIŠAK  KORIŠTEN ZA POKRIĆE RASHODA</t>
  </si>
  <si>
    <t xml:space="preserve">                    UKUPNI  PRIHODI</t>
  </si>
  <si>
    <t>Rashodi za  zaposlene</t>
  </si>
  <si>
    <t>Plaće</t>
  </si>
  <si>
    <t>Plaće za redovan rad</t>
  </si>
  <si>
    <t>Ostali rashodi za zaposlene</t>
  </si>
  <si>
    <t>Doprinosi  na plaće</t>
  </si>
  <si>
    <t>Doprinosi za obvezno zdravstveno osiguranje</t>
  </si>
  <si>
    <t>Doprinosi  za obvezno osiguranje u slučaju nezaposlenosti</t>
  </si>
  <si>
    <t>Naknade troškova zaposlenima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</si>
  <si>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</si>
  <si>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</si>
  <si>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</si>
  <si>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</si>
  <si>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Stručno usavršavanje zaposemika</t>
  </si>
  <si>
    <t>Ostale naknade troškova  zaposlenima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</si>
  <si>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</si>
  <si>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</si>
  <si>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</si>
  <si>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</si>
  <si>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</si>
  <si>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</si>
  <si>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</si>
  <si>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tekučeg i investicijskog održavanja</t>
  </si>
  <si>
    <t>Usluge promidžbe i informiranja</t>
  </si>
  <si>
    <t>Komunalne usluge</t>
  </si>
  <si>
    <t>Zakupnine i ajamnine</t>
  </si>
  <si>
    <t>Zdravstvene i  veterinarske usluge</t>
  </si>
  <si>
    <t>Intelektualne i osobne usluge</t>
  </si>
  <si>
    <t>računalne usluge</t>
  </si>
  <si>
    <t>Ostale  usluge</t>
  </si>
  <si>
    <t>Naknade troškova osobama izvan radnog odnosa</t>
  </si>
  <si>
    <t>Ostali nespomenuti rashodi poslovanja</t>
  </si>
  <si>
    <t>Ostale slične naknde za rad</t>
  </si>
  <si>
    <t>Premije osiguranja</t>
  </si>
  <si>
    <t>Reprezentacija</t>
  </si>
  <si>
    <t>Članarine i norme</t>
  </si>
  <si>
    <t>Pristojbe i naknade</t>
  </si>
  <si>
    <t>Troškovi sudskih postupaka</t>
  </si>
  <si>
    <t>Financijski  rashodi</t>
  </si>
  <si>
    <t>Ostali financijski  rashodi</t>
  </si>
  <si>
    <t>Bankarske usluge i usluge platnog prometa</t>
  </si>
  <si>
    <t>zatezne kamate</t>
  </si>
  <si>
    <t>Ostali nespomenuti financijski rashodi</t>
  </si>
  <si>
    <t>Naknade građanima i kućanstvima u novcu-neposredno ili putem ustanova izvan javnog sektora</t>
  </si>
  <si>
    <t>Naknade građanima i kućanstvima u naravi</t>
  </si>
  <si>
    <t>Tekuće donacije</t>
  </si>
  <si>
    <t>Tekuće donacije u novcu</t>
  </si>
  <si>
    <t>Tekuće donacije u naravi</t>
  </si>
  <si>
    <t>Postrojenja i oprema</t>
  </si>
  <si>
    <t>Građevinski objekti</t>
  </si>
  <si>
    <t>Uredska oprema i namještaj</t>
  </si>
  <si>
    <t>Komunikacijska oprema</t>
  </si>
  <si>
    <t>Knjige, umjetnička djela i ostale izložbene vrijednosti</t>
  </si>
  <si>
    <t xml:space="preserve">Knjige  </t>
  </si>
  <si>
    <t>Rashodi za nabavu proizvedene dugotrajne imovine</t>
  </si>
  <si>
    <t>Ukupno:  Izvor  financiranja   Vlastiti prihodi</t>
  </si>
  <si>
    <t xml:space="preserve">                                                                          POSEBNI DIO</t>
  </si>
  <si>
    <t>Donos</t>
  </si>
  <si>
    <t>Donos vlastiti prihodi</t>
  </si>
  <si>
    <t>UKUPNO  Izvor  financiranja  VLASTITI PRIHODI   - DONOS</t>
  </si>
  <si>
    <t>SVEUKUPNO PRIHODI</t>
  </si>
  <si>
    <t>SVEUKUPNO PRIHODI + DONOS</t>
  </si>
  <si>
    <t>Materijalni rashodi</t>
  </si>
  <si>
    <t>UKUPNO:</t>
  </si>
  <si>
    <t>Donacije od pravnih i fizičkih osobaizvan općeg proračuna</t>
  </si>
  <si>
    <t>Ukupan donos neutrošenih prihoda iz predhodnih godina</t>
  </si>
  <si>
    <t>Ukupan odnos neutrošenih prihoda u slijedeću  godinu</t>
  </si>
  <si>
    <t>o</t>
  </si>
  <si>
    <t>Prijenos između proračunskih korisnika istog proračuna</t>
  </si>
  <si>
    <t>Prihod od financijske imovine</t>
  </si>
  <si>
    <t>Prihodi iz nadležnog  proračuna za  finaciranje rashoda za nabavu nefinanacijske imovine</t>
  </si>
  <si>
    <t>Prihodi od prodaje proizvedene dugotrajne imovine</t>
  </si>
  <si>
    <t>Prihodi od prodaje građevinskih objekata</t>
  </si>
  <si>
    <t>Ostale  naknadegrađanima i kućanstvima iz proračuna</t>
  </si>
  <si>
    <t>Naknade građanima i kućanstvima u novcu</t>
  </si>
  <si>
    <t xml:space="preserve">Ostali rashodi </t>
  </si>
  <si>
    <t>Izvori finaciranja  vlastiti prihodi - donos</t>
  </si>
  <si>
    <t>Pomoći proračunu iz drugih proračuna i izvanproračunskim korisnicima</t>
  </si>
  <si>
    <t>7=5/3*100</t>
  </si>
  <si>
    <t>Prihodi od  imovine</t>
  </si>
  <si>
    <t>5=4/3*1002</t>
  </si>
  <si>
    <t xml:space="preserve"> </t>
  </si>
  <si>
    <t>Zakupnine i  najamnine</t>
  </si>
  <si>
    <t xml:space="preserve">                                                           RASHODI I IZDACI</t>
  </si>
  <si>
    <t>Ostale naknade iz proračuna u novcu</t>
  </si>
  <si>
    <t>Naknade za  prijevoz na posao i s posla</t>
  </si>
  <si>
    <t>Uredski materijal i ostali malterijali</t>
  </si>
  <si>
    <t>materijal i sirovine</t>
  </si>
  <si>
    <t>ostale usluge</t>
  </si>
  <si>
    <t>Tekuće  donacije humanitarnim organizacijama</t>
  </si>
  <si>
    <t xml:space="preserve"> Ostale Naknade građanima i kućanstvima  iz proračuna</t>
  </si>
  <si>
    <t>Plaće za prekovremeni rad</t>
  </si>
  <si>
    <t>Plaće za posebne uvjete rada</t>
  </si>
  <si>
    <t>ostali nespomenuti rashodi poslovanja</t>
  </si>
  <si>
    <t>Naknade građenima i kućanstvima</t>
  </si>
  <si>
    <t>Ukupno:  Izvor  financiranja-  Opći prihodi i primici</t>
  </si>
  <si>
    <t>Ukupno:  Izvor  financiranja -  Prihodi za posebne namjene</t>
  </si>
  <si>
    <t>Ukupno:  Izvor  financiranja - POMOĆI</t>
  </si>
  <si>
    <t>IZVRŠENJE    2022.</t>
  </si>
  <si>
    <t>Ostvarenje/izvršenje 2022.</t>
  </si>
  <si>
    <t>prijenos između prorač.korisnika istog proračuna</t>
  </si>
  <si>
    <t>RASHODI POSLOVANJA</t>
  </si>
  <si>
    <t>Ostale naknade građanima i kućanstvima iz proračuna</t>
  </si>
  <si>
    <t>Naknade  građanima i kućanstvima u naravi</t>
  </si>
  <si>
    <t>Ostali poslovni građevinski objekti</t>
  </si>
  <si>
    <t>5=4/3*100</t>
  </si>
  <si>
    <t>IZVOR FINACIRANJA:  PRIHODI  POMOĆI   051,052</t>
  </si>
  <si>
    <t>IZVOR FINACIRANJA :  PRIHODI ZA POSEBNE NAMJENE 043</t>
  </si>
  <si>
    <t>IZVOR FINACIRANJA:  OPĆI PRIHODI I PRIMICI   011</t>
  </si>
  <si>
    <t>IZVOR FINACIRANJA:  VLASTITI PRIHODI 031, 061</t>
  </si>
  <si>
    <t>Ostale usluge</t>
  </si>
  <si>
    <t>Bankarske usluge i usl.patnog prometa</t>
  </si>
  <si>
    <t>Ostale naknade iz proračuna</t>
  </si>
  <si>
    <t>Izvori finaciranja : 1 Opći prihodi i primici 011</t>
  </si>
  <si>
    <t>Izvor financiranje:  VLASTITI PRIHODI 031,061</t>
  </si>
  <si>
    <t>Izvor finaciranja:  PRIHODI ZA POSEBNE NAMJENE 043</t>
  </si>
  <si>
    <t>Izvor finaciranja: POMOĆI 051, 052</t>
  </si>
  <si>
    <t>Finacijski rashodi</t>
  </si>
  <si>
    <t>ostale naknade građanima i kućanstvima</t>
  </si>
  <si>
    <t xml:space="preserve"> telefona,pošte i prijevoza</t>
  </si>
  <si>
    <t>Naknade građenima i kućanstvima u naravi</t>
  </si>
  <si>
    <t>Najamnine i zakupnine</t>
  </si>
  <si>
    <t xml:space="preserve">  </t>
  </si>
  <si>
    <t>l.  Osnovna škola Čakovec</t>
  </si>
  <si>
    <t>Račun rashoda</t>
  </si>
  <si>
    <t>6=5/3*100</t>
  </si>
  <si>
    <t>7=5/4*100</t>
  </si>
  <si>
    <t>Plan proračuna 2023</t>
  </si>
  <si>
    <t>Plan 2023.</t>
  </si>
  <si>
    <t>IZVRŠENJE 2022.</t>
  </si>
  <si>
    <t>Pomoći proračunui iz drugih proračuna i izvanpro.korisnika</t>
  </si>
  <si>
    <t>Oprema za održavanje i zaštitu</t>
  </si>
  <si>
    <t>2023.g.</t>
  </si>
  <si>
    <t>GODIŠNJI IZVJEŠTAJ O  IZVRŠENJU FINACIJSKOG PLANA ZA 1.1.-31.12.2023. GODINE</t>
  </si>
  <si>
    <t>IZVRŠENJE  1.1.-31.12.2023</t>
  </si>
  <si>
    <t xml:space="preserve">    IZVJEŠTAJ O IZVRŠENJU FINANCIJSKOG PLANA 1.1.-31.12.2023. GODINE  PO EKONOMSKOJ KLASIFIKACIJI</t>
  </si>
  <si>
    <t>Višak  prihoda  poslovanja preneseni</t>
  </si>
  <si>
    <t>Naknade  građanima i kućanstvima u novcu</t>
  </si>
  <si>
    <t>Naknade građanima i kućanstvima i naravi-neposredno ili putem ustanova</t>
  </si>
  <si>
    <t>materijal i  sirovine</t>
  </si>
  <si>
    <t>IZVJEŠTAJ  O IZVRŠENJU FINACIJSKOG PLANA ZA1.1.-31.12.2023. godine.  - OPĆI DIO</t>
  </si>
  <si>
    <t xml:space="preserve">    IZVJEŠTAJ O IZVRŠENJU FINANCIJSKOG PLANA ZA 1.1.-31.12.2023 .GODINE PO  PROGRAMSKOJ, EKONOMSKOJ KLASIFIKACIJI  I</t>
  </si>
  <si>
    <t xml:space="preserve"> IZVORIMA FINACIRANJA              l. OSNOVNA ŠKOLA ČAKOVEC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</si>
</sst>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/>
    <xf numFmtId="0" fontId="0" fillId="0" borderId="0" xfId="0" applyFont="1"/>
    <xf numFmtId="0" fontId="0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Border="1" applyAlignme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wrapText="1"/>
    </xf>
    <xf numFmtId="43" fontId="3" fillId="0" borderId="1" xfId="1" applyFont="1" applyBorder="1" applyAlignment="1">
      <alignment horizontal="center"/>
    </xf>
    <xf numFmtId="43" fontId="3" fillId="0" borderId="0" xfId="1" applyFont="1"/>
    <xf numFmtId="43" fontId="6" fillId="0" borderId="1" xfId="1" applyFont="1" applyBorder="1" applyAlignment="1">
      <alignment horizontal="center" wrapText="1"/>
    </xf>
    <xf numFmtId="43" fontId="3" fillId="0" borderId="1" xfId="1" applyFont="1" applyBorder="1"/>
    <xf numFmtId="164" fontId="6" fillId="0" borderId="0" xfId="1" applyNumberFormat="1" applyFont="1" applyAlignment="1">
      <alignment horizontal="center"/>
    </xf>
    <xf numFmtId="164" fontId="3" fillId="0" borderId="0" xfId="1" applyNumberFormat="1" applyFont="1"/>
    <xf numFmtId="164" fontId="6" fillId="0" borderId="1" xfId="1" applyNumberFormat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/>
    <xf numFmtId="164" fontId="6" fillId="0" borderId="1" xfId="1" applyNumberFormat="1" applyFont="1" applyBorder="1"/>
    <xf numFmtId="164" fontId="2" fillId="0" borderId="0" xfId="1" applyNumberFormat="1" applyFont="1"/>
    <xf numFmtId="164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 wrapText="1"/>
    </xf>
    <xf numFmtId="164" fontId="1" fillId="0" borderId="1" xfId="1" applyNumberFormat="1" applyFont="1" applyBorder="1"/>
    <xf numFmtId="164" fontId="0" fillId="0" borderId="1" xfId="1" applyNumberFormat="1" applyFont="1" applyBorder="1"/>
    <xf numFmtId="164" fontId="0" fillId="0" borderId="0" xfId="1" applyNumberFormat="1" applyFont="1"/>
    <xf numFmtId="164" fontId="2" fillId="0" borderId="1" xfId="1" applyNumberFormat="1" applyFont="1" applyBorder="1" applyAlignment="1">
      <alignment horizontal="center" wrapText="1"/>
    </xf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 applyBorder="1"/>
    <xf numFmtId="0" fontId="1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164" fontId="5" fillId="0" borderId="1" xfId="1" applyNumberFormat="1" applyFont="1" applyBorder="1"/>
    <xf numFmtId="43" fontId="7" fillId="0" borderId="1" xfId="1" applyFont="1" applyBorder="1"/>
    <xf numFmtId="164" fontId="0" fillId="0" borderId="0" xfId="0" applyNumberFormat="1"/>
    <xf numFmtId="43" fontId="6" fillId="0" borderId="1" xfId="1" applyFont="1" applyBorder="1"/>
    <xf numFmtId="164" fontId="6" fillId="0" borderId="1" xfId="1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164" fontId="1" fillId="0" borderId="2" xfId="1" applyNumberFormat="1" applyFont="1" applyBorder="1" applyAlignment="1">
      <alignment horizontal="center" wrapText="1"/>
    </xf>
    <xf numFmtId="164" fontId="0" fillId="0" borderId="3" xfId="1" applyNumberFormat="1" applyFont="1" applyBorder="1"/>
    <xf numFmtId="164" fontId="0" fillId="0" borderId="0" xfId="0" applyNumberFormat="1" applyBorder="1"/>
    <xf numFmtId="0" fontId="1" fillId="0" borderId="1" xfId="0" applyFont="1" applyFill="1" applyBorder="1" applyAlignment="1">
      <alignment wrapText="1"/>
    </xf>
    <xf numFmtId="164" fontId="1" fillId="0" borderId="0" xfId="1" applyNumberFormat="1" applyFont="1" applyBorder="1"/>
    <xf numFmtId="164" fontId="1" fillId="0" borderId="3" xfId="1" applyNumberFormat="1" applyFont="1" applyBorder="1"/>
    <xf numFmtId="164" fontId="1" fillId="0" borderId="0" xfId="0" applyNumberFormat="1" applyFont="1"/>
    <xf numFmtId="164" fontId="8" fillId="0" borderId="1" xfId="1" applyNumberFormat="1" applyFont="1" applyBorder="1" applyAlignment="1">
      <alignment horizont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J13" sqref="J13"/>
    </sheetView>
  </sheetViews>
  <sheetFormatPr defaultRowHeight="15" x14ac:dyDescent="0.25"/>
  <cols>
    <col min="1" max="1" width="21.85546875" customWidth="1"/>
    <col min="2" max="2" width="21.85546875" style="44" customWidth="1"/>
    <col min="3" max="3" width="17.85546875" style="44" customWidth="1"/>
    <col min="4" max="4" width="18.85546875" style="44" customWidth="1"/>
  </cols>
  <sheetData>
    <row r="1" spans="1:4" ht="15.75" x14ac:dyDescent="0.25">
      <c r="A1" s="1" t="s">
        <v>158</v>
      </c>
    </row>
    <row r="3" spans="1:4" ht="15.75" x14ac:dyDescent="0.25">
      <c r="A3" s="1" t="s">
        <v>168</v>
      </c>
      <c r="B3" s="39"/>
      <c r="C3" s="39"/>
      <c r="D3" s="39"/>
    </row>
    <row r="4" spans="1:4" ht="15.75" x14ac:dyDescent="0.25">
      <c r="A4" s="1"/>
      <c r="B4" s="39"/>
      <c r="C4" s="39"/>
      <c r="D4" s="39"/>
    </row>
    <row r="5" spans="1:4" ht="15.75" x14ac:dyDescent="0.25">
      <c r="A5" s="1" t="s">
        <v>175</v>
      </c>
      <c r="B5" s="39"/>
      <c r="C5" s="39"/>
      <c r="D5" s="39"/>
    </row>
    <row r="7" spans="1:4" ht="30" x14ac:dyDescent="0.25">
      <c r="A7" s="3" t="s">
        <v>0</v>
      </c>
      <c r="B7" s="40" t="s">
        <v>164</v>
      </c>
      <c r="C7" s="41" t="s">
        <v>162</v>
      </c>
      <c r="D7" s="41" t="s">
        <v>169</v>
      </c>
    </row>
    <row r="8" spans="1:4" ht="25.5" customHeight="1" x14ac:dyDescent="0.25">
      <c r="A8" s="7" t="s">
        <v>1</v>
      </c>
      <c r="B8" s="42">
        <f t="shared" ref="B8" si="0">SUM(B9:B10)</f>
        <v>2311194.3791890638</v>
      </c>
      <c r="C8" s="42">
        <f t="shared" ref="C8:D8" si="1">SUM(C9:C10)</f>
        <v>2607353.77</v>
      </c>
      <c r="D8" s="42">
        <f t="shared" si="1"/>
        <v>2628832.33</v>
      </c>
    </row>
    <row r="9" spans="1:4" ht="25.5" customHeight="1" x14ac:dyDescent="0.25">
      <c r="A9" s="5" t="s">
        <v>2</v>
      </c>
      <c r="B9" s="43">
        <f>17413694.05/7.5345</f>
        <v>2311194.3791890638</v>
      </c>
      <c r="C9" s="43">
        <v>2607353.77</v>
      </c>
      <c r="D9" s="43">
        <v>2628832.33</v>
      </c>
    </row>
    <row r="10" spans="1:4" ht="30" x14ac:dyDescent="0.25">
      <c r="A10" s="6" t="s">
        <v>3</v>
      </c>
      <c r="B10" s="43">
        <v>0</v>
      </c>
      <c r="C10" s="43">
        <v>0</v>
      </c>
      <c r="D10" s="43">
        <v>0</v>
      </c>
    </row>
    <row r="11" spans="1:4" ht="27" customHeight="1" x14ac:dyDescent="0.25">
      <c r="A11" s="7" t="s">
        <v>4</v>
      </c>
      <c r="B11" s="43">
        <f>17422992/7.5345</f>
        <v>2312428.4292255621</v>
      </c>
      <c r="C11" s="43">
        <f>SUM(C12:C13)</f>
        <v>2607353.77</v>
      </c>
      <c r="D11" s="43">
        <f>SUM(D12:D13)</f>
        <v>2548566.67</v>
      </c>
    </row>
    <row r="12" spans="1:4" ht="29.25" customHeight="1" x14ac:dyDescent="0.25">
      <c r="A12" s="5" t="s">
        <v>5</v>
      </c>
      <c r="B12" s="43">
        <f>(17422923-440833.9)/7.5345</f>
        <v>2253910.5580994096</v>
      </c>
      <c r="C12" s="43">
        <f>2607353.77-C13</f>
        <v>2575133.77</v>
      </c>
      <c r="D12" s="43">
        <v>2515513.58</v>
      </c>
    </row>
    <row r="13" spans="1:4" ht="30" x14ac:dyDescent="0.25">
      <c r="A13" s="6" t="s">
        <v>6</v>
      </c>
      <c r="B13" s="43">
        <f>440833.9/7.5345</f>
        <v>58508.713252372421</v>
      </c>
      <c r="C13" s="43">
        <f>13000+19220</f>
        <v>32220</v>
      </c>
      <c r="D13" s="43">
        <v>33053.089999999997</v>
      </c>
    </row>
    <row r="14" spans="1:4" ht="30" x14ac:dyDescent="0.25">
      <c r="A14" s="8" t="s">
        <v>7</v>
      </c>
      <c r="B14" s="43">
        <f>-9298.77/7.5345</f>
        <v>-1234.1588692016724</v>
      </c>
      <c r="C14" s="43"/>
      <c r="D14" s="43">
        <f>D8-D11</f>
        <v>80265.660000000149</v>
      </c>
    </row>
    <row r="16" spans="1:4" ht="32.25" customHeight="1" x14ac:dyDescent="0.25">
      <c r="A16" s="2" t="s">
        <v>11</v>
      </c>
      <c r="B16" s="41" t="s">
        <v>133</v>
      </c>
      <c r="C16" s="41" t="s">
        <v>162</v>
      </c>
      <c r="D16" s="41" t="s">
        <v>169</v>
      </c>
    </row>
    <row r="17" spans="1:4" ht="45" x14ac:dyDescent="0.25">
      <c r="A17" s="4" t="s">
        <v>100</v>
      </c>
      <c r="B17" s="43">
        <f>169704/7.5345</f>
        <v>22523.5914791957</v>
      </c>
      <c r="C17" s="43">
        <v>21289.42</v>
      </c>
      <c r="D17" s="43">
        <v>21289.42</v>
      </c>
    </row>
    <row r="18" spans="1:4" ht="45" x14ac:dyDescent="0.25">
      <c r="A18" s="6" t="s">
        <v>101</v>
      </c>
      <c r="B18" s="43">
        <f>160405/7.5345</f>
        <v>21289.402083748089</v>
      </c>
      <c r="C18" s="43">
        <v>0</v>
      </c>
      <c r="D18" s="43">
        <f>D14+D17</f>
        <v>101555.08000000015</v>
      </c>
    </row>
    <row r="20" spans="1:4" ht="30" hidden="1" x14ac:dyDescent="0.25">
      <c r="A20" s="7" t="s">
        <v>12</v>
      </c>
      <c r="B20" s="40" t="s">
        <v>9</v>
      </c>
      <c r="C20" s="41" t="s">
        <v>8</v>
      </c>
      <c r="D20" s="41" t="s">
        <v>10</v>
      </c>
    </row>
    <row r="21" spans="1:4" ht="30" hidden="1" x14ac:dyDescent="0.25">
      <c r="A21" s="6" t="s">
        <v>13</v>
      </c>
      <c r="B21" s="43"/>
      <c r="C21" s="43"/>
      <c r="D21" s="43"/>
    </row>
    <row r="22" spans="1:4" ht="45" hidden="1" x14ac:dyDescent="0.25">
      <c r="A22" s="6" t="s">
        <v>14</v>
      </c>
      <c r="B22" s="43"/>
      <c r="C22" s="43"/>
      <c r="D22" s="43"/>
    </row>
    <row r="23" spans="1:4" ht="24" hidden="1" customHeight="1" x14ac:dyDescent="0.25">
      <c r="A23" s="9" t="s">
        <v>15</v>
      </c>
      <c r="B23" s="43"/>
      <c r="C23" s="43"/>
      <c r="D23" s="43"/>
    </row>
    <row r="25" spans="1:4" ht="45" x14ac:dyDescent="0.25">
      <c r="A25" s="9" t="s">
        <v>16</v>
      </c>
      <c r="B25" s="43" t="s">
        <v>102</v>
      </c>
      <c r="C25" s="43" t="s">
        <v>102</v>
      </c>
      <c r="D25" s="43" t="s">
        <v>102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opLeftCell="A25" workbookViewId="0">
      <selection activeCell="H54" sqref="H54"/>
    </sheetView>
  </sheetViews>
  <sheetFormatPr defaultRowHeight="15" x14ac:dyDescent="0.25"/>
  <cols>
    <col min="1" max="1" width="10.85546875" style="10" customWidth="1"/>
    <col min="2" max="2" width="40" customWidth="1"/>
    <col min="3" max="3" width="14.85546875" style="34" customWidth="1"/>
    <col min="4" max="4" width="16.42578125" style="34" customWidth="1"/>
    <col min="5" max="5" width="12.28515625" style="34" hidden="1" customWidth="1"/>
    <col min="6" max="6" width="15.42578125" style="34" customWidth="1"/>
    <col min="7" max="7" width="11.28515625" style="30" customWidth="1"/>
    <col min="8" max="8" width="11.85546875" style="30" customWidth="1"/>
    <col min="9" max="9" width="13.28515625" bestFit="1" customWidth="1"/>
    <col min="10" max="10" width="16.42578125" customWidth="1"/>
    <col min="11" max="12" width="13.28515625" bestFit="1" customWidth="1"/>
  </cols>
  <sheetData>
    <row r="1" spans="1:8" ht="24.75" customHeight="1" x14ac:dyDescent="0.25">
      <c r="A1" s="11"/>
      <c r="C1" s="33" t="s">
        <v>21</v>
      </c>
    </row>
    <row r="2" spans="1:8" ht="24.75" customHeight="1" x14ac:dyDescent="0.25">
      <c r="A2" s="12" t="s">
        <v>170</v>
      </c>
    </row>
    <row r="4" spans="1:8" ht="54" customHeight="1" x14ac:dyDescent="0.25">
      <c r="A4" s="3" t="s">
        <v>17</v>
      </c>
      <c r="B4" s="2" t="s">
        <v>18</v>
      </c>
      <c r="C4" s="64" t="s">
        <v>134</v>
      </c>
      <c r="D4" s="35" t="s">
        <v>163</v>
      </c>
      <c r="E4" s="35" t="s">
        <v>19</v>
      </c>
      <c r="F4" s="41" t="s">
        <v>169</v>
      </c>
      <c r="G4" s="31" t="s">
        <v>20</v>
      </c>
      <c r="H4" s="31" t="s">
        <v>20</v>
      </c>
    </row>
    <row r="5" spans="1:8" x14ac:dyDescent="0.25">
      <c r="A5" s="13">
        <v>1</v>
      </c>
      <c r="B5" s="14">
        <v>2</v>
      </c>
      <c r="C5" s="36">
        <v>3</v>
      </c>
      <c r="D5" s="36">
        <v>4</v>
      </c>
      <c r="E5" s="36">
        <v>4</v>
      </c>
      <c r="F5" s="36">
        <v>5</v>
      </c>
      <c r="G5" s="29" t="s">
        <v>160</v>
      </c>
      <c r="H5" s="29" t="s">
        <v>161</v>
      </c>
    </row>
    <row r="6" spans="1:8" s="19" customFormat="1" ht="30" x14ac:dyDescent="0.25">
      <c r="A6" s="20">
        <v>67</v>
      </c>
      <c r="B6" s="15" t="s">
        <v>25</v>
      </c>
      <c r="C6" s="38">
        <f>SUM(C7:C8)</f>
        <v>266027.44840400823</v>
      </c>
      <c r="D6" s="38">
        <f t="shared" ref="D6:F6" si="0">SUM(D7:D8)</f>
        <v>260758.23</v>
      </c>
      <c r="E6" s="38">
        <f t="shared" si="0"/>
        <v>0</v>
      </c>
      <c r="F6" s="38">
        <f t="shared" si="0"/>
        <v>253150.02</v>
      </c>
      <c r="G6" s="54">
        <f>F6/C6*100</f>
        <v>95.159361005315631</v>
      </c>
      <c r="H6" s="54">
        <f>F6/D6*100</f>
        <v>97.082274258419375</v>
      </c>
    </row>
    <row r="7" spans="1:8" ht="30" x14ac:dyDescent="0.25">
      <c r="A7" s="13">
        <v>6711</v>
      </c>
      <c r="B7" s="6" t="s">
        <v>23</v>
      </c>
      <c r="C7" s="37">
        <f>2004383.81/7.5345</f>
        <v>266027.44840400823</v>
      </c>
      <c r="D7" s="37">
        <v>260758.23</v>
      </c>
      <c r="E7" s="37"/>
      <c r="F7" s="37">
        <v>253150.02</v>
      </c>
      <c r="G7" s="32">
        <f>F7/C7*100</f>
        <v>95.159361005315631</v>
      </c>
      <c r="H7" s="32">
        <f>F7/D7*100</f>
        <v>97.082274258419375</v>
      </c>
    </row>
    <row r="8" spans="1:8" ht="42" customHeight="1" x14ac:dyDescent="0.25">
      <c r="A8" s="13">
        <v>6712</v>
      </c>
      <c r="B8" s="6" t="s">
        <v>105</v>
      </c>
      <c r="C8" s="37"/>
      <c r="D8" s="37"/>
      <c r="E8" s="37"/>
      <c r="F8" s="37"/>
      <c r="G8" s="32"/>
      <c r="H8" s="32"/>
    </row>
    <row r="9" spans="1:8" ht="30" x14ac:dyDescent="0.25">
      <c r="A9" s="3">
        <v>66</v>
      </c>
      <c r="B9" s="8" t="s">
        <v>26</v>
      </c>
      <c r="C9" s="38">
        <f>SUM(C10:C11)</f>
        <v>23189.992700245537</v>
      </c>
      <c r="D9" s="38">
        <f t="shared" ref="D9:F9" si="1">SUM(D10:D11)</f>
        <v>21427.489999999998</v>
      </c>
      <c r="E9" s="38">
        <f t="shared" si="1"/>
        <v>0</v>
      </c>
      <c r="F9" s="38">
        <f t="shared" si="1"/>
        <v>24995.97</v>
      </c>
      <c r="G9" s="54">
        <f t="shared" ref="G9:G15" si="2">F9/C9*100</f>
        <v>107.7877441493776</v>
      </c>
      <c r="H9" s="54">
        <f t="shared" ref="H9:H15" si="3">F9/D9*100</f>
        <v>116.65374712577163</v>
      </c>
    </row>
    <row r="10" spans="1:8" ht="30" x14ac:dyDescent="0.25">
      <c r="A10" s="13">
        <v>661</v>
      </c>
      <c r="B10" s="15" t="s">
        <v>27</v>
      </c>
      <c r="C10" s="37">
        <f>75050/7.5345</f>
        <v>9960.8467715176848</v>
      </c>
      <c r="D10" s="37">
        <v>14427.49</v>
      </c>
      <c r="E10" s="37"/>
      <c r="F10" s="37">
        <v>10059.120000000001</v>
      </c>
      <c r="G10" s="32">
        <f t="shared" si="2"/>
        <v>100.98659512325119</v>
      </c>
      <c r="H10" s="32">
        <f t="shared" si="3"/>
        <v>69.721898958169447</v>
      </c>
    </row>
    <row r="11" spans="1:8" ht="30" x14ac:dyDescent="0.25">
      <c r="A11" s="13">
        <v>663</v>
      </c>
      <c r="B11" s="15" t="s">
        <v>99</v>
      </c>
      <c r="C11" s="37">
        <f>99675/7.5345</f>
        <v>13229.14592872785</v>
      </c>
      <c r="D11" s="37">
        <v>7000</v>
      </c>
      <c r="E11" s="37"/>
      <c r="F11" s="37">
        <v>14936.85</v>
      </c>
      <c r="G11" s="32">
        <f t="shared" si="2"/>
        <v>112.90864943566592</v>
      </c>
      <c r="H11" s="32">
        <f t="shared" si="3"/>
        <v>213.38357142857146</v>
      </c>
    </row>
    <row r="12" spans="1:8" x14ac:dyDescent="0.25">
      <c r="A12" s="3">
        <v>652</v>
      </c>
      <c r="B12" s="8" t="s">
        <v>28</v>
      </c>
      <c r="C12" s="38">
        <f>SUM(C13)</f>
        <v>102910.45855730306</v>
      </c>
      <c r="D12" s="38">
        <f t="shared" ref="D12:F12" si="4">SUM(D13)</f>
        <v>72694.460000000006</v>
      </c>
      <c r="E12" s="38">
        <f t="shared" si="4"/>
        <v>0</v>
      </c>
      <c r="F12" s="38">
        <f t="shared" si="4"/>
        <v>82530.3</v>
      </c>
      <c r="G12" s="54">
        <f t="shared" si="2"/>
        <v>80.196222188675904</v>
      </c>
      <c r="H12" s="54">
        <f t="shared" si="3"/>
        <v>113.53038457125892</v>
      </c>
    </row>
    <row r="13" spans="1:8" ht="30" x14ac:dyDescent="0.25">
      <c r="A13" s="13">
        <v>65264</v>
      </c>
      <c r="B13" s="15" t="s">
        <v>29</v>
      </c>
      <c r="C13" s="37">
        <f>775378.85/7.5345</f>
        <v>102910.45855730306</v>
      </c>
      <c r="D13" s="37">
        <v>72694.460000000006</v>
      </c>
      <c r="E13" s="37"/>
      <c r="F13" s="37">
        <v>82530.3</v>
      </c>
      <c r="G13" s="32">
        <f t="shared" si="2"/>
        <v>80.196222188675904</v>
      </c>
      <c r="H13" s="32">
        <f t="shared" si="3"/>
        <v>113.53038457125892</v>
      </c>
    </row>
    <row r="14" spans="1:8" ht="30" x14ac:dyDescent="0.25">
      <c r="A14" s="3">
        <v>63</v>
      </c>
      <c r="B14" s="8" t="s">
        <v>30</v>
      </c>
      <c r="C14" s="38">
        <f>SUM(C15:C19)</f>
        <v>1919064.6930785053</v>
      </c>
      <c r="D14" s="38">
        <f>SUM(D15:D19)</f>
        <v>2231184.17</v>
      </c>
      <c r="E14" s="38"/>
      <c r="F14" s="38">
        <f>SUM(F15:F19)</f>
        <v>2268094.42</v>
      </c>
      <c r="G14" s="54">
        <f t="shared" si="2"/>
        <v>118.1874914472837</v>
      </c>
      <c r="H14" s="54">
        <f t="shared" si="3"/>
        <v>101.65428970392882</v>
      </c>
    </row>
    <row r="15" spans="1:8" ht="30" x14ac:dyDescent="0.25">
      <c r="A15" s="20">
        <v>633</v>
      </c>
      <c r="B15" s="15" t="s">
        <v>112</v>
      </c>
      <c r="C15" s="37">
        <f>36108.87/7.5345</f>
        <v>4792.4706350786382</v>
      </c>
      <c r="D15" s="37">
        <f>9904.98+6940.7</f>
        <v>16845.68</v>
      </c>
      <c r="E15" s="37"/>
      <c r="F15" s="37">
        <v>9842.4</v>
      </c>
      <c r="G15" s="54">
        <f t="shared" si="2"/>
        <v>205.37215038853333</v>
      </c>
      <c r="H15" s="54">
        <f t="shared" si="3"/>
        <v>58.426848901320696</v>
      </c>
    </row>
    <row r="16" spans="1:8" ht="23.25" customHeight="1" x14ac:dyDescent="0.25">
      <c r="A16" s="13">
        <v>634</v>
      </c>
      <c r="B16" s="15" t="s">
        <v>31</v>
      </c>
      <c r="C16" s="37">
        <v>0</v>
      </c>
      <c r="D16" s="37"/>
      <c r="E16" s="37"/>
      <c r="F16" s="37">
        <v>0</v>
      </c>
      <c r="G16" s="32"/>
      <c r="H16" s="32"/>
    </row>
    <row r="17" spans="1:12" ht="30" x14ac:dyDescent="0.25">
      <c r="A17" s="13">
        <v>636</v>
      </c>
      <c r="B17" s="15" t="s">
        <v>32</v>
      </c>
      <c r="C17" s="37">
        <f>13328615.18/7.5345</f>
        <v>1769011.2389674163</v>
      </c>
      <c r="D17" s="37">
        <v>2005315.7</v>
      </c>
      <c r="E17" s="37"/>
      <c r="F17" s="37">
        <v>2051000.54</v>
      </c>
      <c r="G17" s="32">
        <f>F17/C17*100</f>
        <v>115.94050364525567</v>
      </c>
      <c r="H17" s="32">
        <f>F17/D17*100</f>
        <v>102.2781869208923</v>
      </c>
    </row>
    <row r="18" spans="1:12" ht="21.75" customHeight="1" x14ac:dyDescent="0.25">
      <c r="A18" s="13">
        <v>638</v>
      </c>
      <c r="B18" s="15" t="s">
        <v>33</v>
      </c>
      <c r="C18" s="37">
        <f>1019957.89/7.5345</f>
        <v>135371.67562545624</v>
      </c>
      <c r="D18" s="37">
        <f>150000+55814.37+3208.42</f>
        <v>209022.79</v>
      </c>
      <c r="E18" s="37"/>
      <c r="F18" s="37">
        <v>200918.28</v>
      </c>
      <c r="G18" s="32">
        <f>F18/C18*100</f>
        <v>148.41973335389366</v>
      </c>
      <c r="H18" s="32">
        <f>F18/D18*100</f>
        <v>96.122666815422377</v>
      </c>
    </row>
    <row r="19" spans="1:12" ht="28.5" customHeight="1" x14ac:dyDescent="0.25">
      <c r="A19" s="13">
        <v>639</v>
      </c>
      <c r="B19" s="15" t="s">
        <v>103</v>
      </c>
      <c r="C19" s="37">
        <f>74510.99/7.5345</f>
        <v>9889.307850554118</v>
      </c>
      <c r="D19" s="37">
        <v>0</v>
      </c>
      <c r="E19" s="37"/>
      <c r="F19" s="37">
        <v>6333.2</v>
      </c>
      <c r="G19" s="32">
        <f>F19/C19*100</f>
        <v>64.040882291323726</v>
      </c>
      <c r="H19" s="32">
        <v>0</v>
      </c>
    </row>
    <row r="20" spans="1:12" ht="21.75" customHeight="1" x14ac:dyDescent="0.25">
      <c r="A20" s="3">
        <v>641</v>
      </c>
      <c r="B20" s="8" t="s">
        <v>104</v>
      </c>
      <c r="C20" s="38">
        <f>13.46/7.5345</f>
        <v>1.7864490012608667</v>
      </c>
      <c r="D20" s="38">
        <v>0</v>
      </c>
      <c r="E20" s="38"/>
      <c r="F20" s="38">
        <v>61.62</v>
      </c>
      <c r="G20" s="54">
        <f>F20/C20*100</f>
        <v>3449.3008172362552</v>
      </c>
      <c r="H20" s="54"/>
    </row>
    <row r="21" spans="1:12" ht="27.75" customHeight="1" x14ac:dyDescent="0.25">
      <c r="A21" s="13">
        <v>9221</v>
      </c>
      <c r="B21" s="15" t="s">
        <v>171</v>
      </c>
      <c r="C21" s="37"/>
      <c r="D21" s="37">
        <v>21289.42</v>
      </c>
      <c r="E21" s="37"/>
      <c r="F21" s="37">
        <v>21289</v>
      </c>
      <c r="G21" s="32"/>
      <c r="H21" s="32"/>
    </row>
    <row r="22" spans="1:12" ht="21.75" customHeight="1" x14ac:dyDescent="0.25">
      <c r="A22" s="13" t="s">
        <v>116</v>
      </c>
      <c r="B22" s="15" t="s">
        <v>116</v>
      </c>
      <c r="C22" s="37">
        <v>0</v>
      </c>
      <c r="D22" s="37">
        <v>0</v>
      </c>
      <c r="E22" s="37"/>
      <c r="F22" s="37">
        <v>0</v>
      </c>
      <c r="G22" s="32">
        <v>0</v>
      </c>
      <c r="H22" s="32"/>
    </row>
    <row r="23" spans="1:12" ht="19.5" customHeight="1" x14ac:dyDescent="0.25">
      <c r="A23" s="16" t="s">
        <v>35</v>
      </c>
      <c r="B23" s="5"/>
      <c r="C23" s="37">
        <f>C20+C14+C12+C9+C6</f>
        <v>2311194.3791890633</v>
      </c>
      <c r="D23" s="37">
        <f>D20+D14+D12+D9+D6</f>
        <v>2586064.35</v>
      </c>
      <c r="E23" s="37"/>
      <c r="F23" s="37">
        <f>F20+F14+F12+F9+F6</f>
        <v>2628832.33</v>
      </c>
      <c r="G23" s="32">
        <f>F23/C23*100</f>
        <v>113.7434546254992</v>
      </c>
      <c r="H23" s="32">
        <f>F23/D23*100</f>
        <v>101.65378638006437</v>
      </c>
      <c r="I23" s="53"/>
    </row>
    <row r="24" spans="1:12" ht="36.75" customHeight="1" x14ac:dyDescent="0.25">
      <c r="A24" s="23"/>
      <c r="B24" s="56" t="s">
        <v>34</v>
      </c>
      <c r="C24" s="38">
        <f>C23+9298.77/7.5345</f>
        <v>2312428.5380582651</v>
      </c>
      <c r="D24" s="38">
        <f>D23+21289.42</f>
        <v>2607353.77</v>
      </c>
      <c r="E24" s="38"/>
      <c r="F24" s="38">
        <f>F23+F21</f>
        <v>2650121.33</v>
      </c>
      <c r="G24" s="54">
        <f>F24/C24*100</f>
        <v>114.60338282389881</v>
      </c>
      <c r="H24" s="54">
        <f>F24/D24*100</f>
        <v>101.6402668672</v>
      </c>
    </row>
    <row r="27" spans="1:12" ht="36.75" x14ac:dyDescent="0.25">
      <c r="A27" s="3" t="s">
        <v>159</v>
      </c>
      <c r="B27" s="2" t="s">
        <v>18</v>
      </c>
      <c r="C27" s="64" t="s">
        <v>134</v>
      </c>
      <c r="D27" s="35" t="s">
        <v>163</v>
      </c>
      <c r="E27" s="35" t="s">
        <v>19</v>
      </c>
      <c r="F27" s="41" t="s">
        <v>169</v>
      </c>
      <c r="G27" s="31" t="s">
        <v>20</v>
      </c>
      <c r="H27" s="31" t="s">
        <v>20</v>
      </c>
    </row>
    <row r="28" spans="1:12" x14ac:dyDescent="0.25">
      <c r="A28" s="13"/>
      <c r="B28" s="14">
        <v>1</v>
      </c>
      <c r="C28" s="36">
        <v>5</v>
      </c>
      <c r="D28" s="36">
        <v>3</v>
      </c>
      <c r="E28" s="36">
        <v>4</v>
      </c>
      <c r="F28" s="36">
        <v>5</v>
      </c>
      <c r="G28" s="29" t="s">
        <v>22</v>
      </c>
      <c r="H28" s="29" t="s">
        <v>113</v>
      </c>
    </row>
    <row r="29" spans="1:12" x14ac:dyDescent="0.25">
      <c r="A29" s="13">
        <v>3</v>
      </c>
      <c r="B29" s="14" t="s">
        <v>136</v>
      </c>
      <c r="C29" s="55">
        <f>C30+C41+C74+C79+C82+1</f>
        <v>2253920</v>
      </c>
      <c r="D29" s="55">
        <f>D30+D41+D74+D79+D82</f>
        <v>2575133.7610000004</v>
      </c>
      <c r="E29" s="55">
        <f t="shared" ref="E29:F29" si="5">E30+E41+E74+E79+E82+1</f>
        <v>1</v>
      </c>
      <c r="F29" s="55">
        <f t="shared" si="5"/>
        <v>2515514.5800000005</v>
      </c>
      <c r="G29" s="54">
        <f t="shared" ref="G29:G34" si="6">F29/C29*100</f>
        <v>111.60620518918154</v>
      </c>
      <c r="H29" s="54">
        <f t="shared" ref="H29:H34" si="7">F29/D29*100</f>
        <v>97.684812264787055</v>
      </c>
      <c r="J29" s="53"/>
      <c r="K29" s="53"/>
      <c r="L29" s="53"/>
    </row>
    <row r="30" spans="1:12" s="18" customFormat="1" x14ac:dyDescent="0.25">
      <c r="A30" s="3">
        <v>31</v>
      </c>
      <c r="B30" s="7" t="s">
        <v>36</v>
      </c>
      <c r="C30" s="38">
        <f>C31+C36+C38</f>
        <v>1769292</v>
      </c>
      <c r="D30" s="38">
        <f t="shared" ref="D30:F30" si="8">D31+D36+D38</f>
        <v>1973246.8900000001</v>
      </c>
      <c r="E30" s="38">
        <f t="shared" si="8"/>
        <v>0</v>
      </c>
      <c r="F30" s="38">
        <f t="shared" si="8"/>
        <v>1998727.57</v>
      </c>
      <c r="G30" s="32">
        <f t="shared" si="6"/>
        <v>112.96764864137745</v>
      </c>
      <c r="H30" s="32">
        <f t="shared" si="7"/>
        <v>101.29130724234918</v>
      </c>
      <c r="J30" s="53"/>
    </row>
    <row r="31" spans="1:12" s="18" customFormat="1" x14ac:dyDescent="0.25">
      <c r="A31" s="3">
        <v>311</v>
      </c>
      <c r="B31" s="7" t="s">
        <v>37</v>
      </c>
      <c r="C31" s="38">
        <f>SUM(C32:C34)</f>
        <v>1462429</v>
      </c>
      <c r="D31" s="38">
        <f t="shared" ref="D31:F31" si="9">SUM(D32:D34)</f>
        <v>1614612.1600000001</v>
      </c>
      <c r="E31" s="38">
        <f t="shared" si="9"/>
        <v>0</v>
      </c>
      <c r="F31" s="38">
        <f t="shared" si="9"/>
        <v>1636917.32</v>
      </c>
      <c r="G31" s="32">
        <f t="shared" si="6"/>
        <v>111.93140453314314</v>
      </c>
      <c r="H31" s="32">
        <f t="shared" si="7"/>
        <v>101.38145621298924</v>
      </c>
      <c r="J31" s="53"/>
    </row>
    <row r="32" spans="1:12" x14ac:dyDescent="0.25">
      <c r="A32" s="13">
        <v>3111</v>
      </c>
      <c r="B32" s="5" t="s">
        <v>38</v>
      </c>
      <c r="C32" s="37">
        <v>1417640</v>
      </c>
      <c r="D32" s="37">
        <f>70000+6000+1450000+3801.24+18309.31+3231.05+2316.31+2549.14+12278.34+2166.77</f>
        <v>1570652.1600000001</v>
      </c>
      <c r="E32" s="37"/>
      <c r="F32" s="37">
        <v>1592852.19</v>
      </c>
      <c r="G32" s="32">
        <f t="shared" si="6"/>
        <v>112.35942764030359</v>
      </c>
      <c r="H32" s="32">
        <f t="shared" si="7"/>
        <v>101.41342752809123</v>
      </c>
      <c r="J32" s="53"/>
    </row>
    <row r="33" spans="1:10" x14ac:dyDescent="0.25">
      <c r="A33" s="13">
        <v>3113</v>
      </c>
      <c r="B33" s="5" t="s">
        <v>126</v>
      </c>
      <c r="C33" s="37">
        <v>37002</v>
      </c>
      <c r="D33" s="37">
        <v>36000</v>
      </c>
      <c r="E33" s="37"/>
      <c r="F33" s="37">
        <v>36775.279999999999</v>
      </c>
      <c r="G33" s="32">
        <f t="shared" si="6"/>
        <v>99.38727636343981</v>
      </c>
      <c r="H33" s="32">
        <f t="shared" si="7"/>
        <v>102.15355555555554</v>
      </c>
      <c r="J33" s="53"/>
    </row>
    <row r="34" spans="1:10" x14ac:dyDescent="0.25">
      <c r="A34" s="13">
        <v>3114</v>
      </c>
      <c r="B34" s="5" t="s">
        <v>127</v>
      </c>
      <c r="C34" s="37">
        <v>7787</v>
      </c>
      <c r="D34" s="37">
        <v>7960</v>
      </c>
      <c r="E34" s="37"/>
      <c r="F34" s="37">
        <v>7289.85</v>
      </c>
      <c r="G34" s="32">
        <f t="shared" si="6"/>
        <v>93.615641453704896</v>
      </c>
      <c r="H34" s="32">
        <f t="shared" si="7"/>
        <v>91.581030150753776</v>
      </c>
      <c r="J34" s="53"/>
    </row>
    <row r="35" spans="1:10" x14ac:dyDescent="0.25">
      <c r="A35" s="13"/>
      <c r="B35" s="5"/>
      <c r="C35" s="37"/>
      <c r="D35" s="37"/>
      <c r="E35" s="37"/>
      <c r="F35" s="37"/>
      <c r="G35" s="32"/>
      <c r="H35" s="32"/>
      <c r="J35" s="53"/>
    </row>
    <row r="36" spans="1:10" s="18" customFormat="1" x14ac:dyDescent="0.25">
      <c r="A36" s="3">
        <v>312</v>
      </c>
      <c r="B36" s="7" t="s">
        <v>39</v>
      </c>
      <c r="C36" s="38">
        <f>SUM(C37)</f>
        <v>64511</v>
      </c>
      <c r="D36" s="38">
        <f t="shared" ref="D36:F36" si="10">SUM(D37)</f>
        <v>99517.08</v>
      </c>
      <c r="E36" s="38">
        <f t="shared" si="10"/>
        <v>0</v>
      </c>
      <c r="F36" s="38">
        <f t="shared" si="10"/>
        <v>87506.04</v>
      </c>
      <c r="G36" s="32">
        <f t="shared" ref="G36:G66" si="11">F36/C36*100</f>
        <v>135.64514578909021</v>
      </c>
      <c r="H36" s="32">
        <f>F36/D36*100</f>
        <v>87.930674814815703</v>
      </c>
      <c r="J36" s="53"/>
    </row>
    <row r="37" spans="1:10" x14ac:dyDescent="0.25">
      <c r="A37" s="13">
        <v>3121</v>
      </c>
      <c r="B37" s="5" t="s">
        <v>39</v>
      </c>
      <c r="C37" s="37">
        <v>64511</v>
      </c>
      <c r="D37" s="37">
        <f>8000+82000+450+2167.5+382.5+3517.08+450+2167.5+382.5</f>
        <v>99517.08</v>
      </c>
      <c r="E37" s="37"/>
      <c r="F37" s="37">
        <v>87506.04</v>
      </c>
      <c r="G37" s="32">
        <f t="shared" si="11"/>
        <v>135.64514578909021</v>
      </c>
      <c r="H37" s="32">
        <f>F37/D37*100</f>
        <v>87.930674814815703</v>
      </c>
      <c r="J37" s="53"/>
    </row>
    <row r="38" spans="1:10" x14ac:dyDescent="0.25">
      <c r="A38" s="3">
        <v>313</v>
      </c>
      <c r="B38" s="7" t="s">
        <v>40</v>
      </c>
      <c r="C38" s="38">
        <f>SUM(C39:C40)</f>
        <v>242352</v>
      </c>
      <c r="D38" s="38">
        <f t="shared" ref="D38:F38" si="12">SUM(D39:D40)</f>
        <v>259117.64999999997</v>
      </c>
      <c r="E38" s="38">
        <f t="shared" si="12"/>
        <v>0</v>
      </c>
      <c r="F38" s="38">
        <f t="shared" si="12"/>
        <v>274304.21000000002</v>
      </c>
      <c r="G38" s="54">
        <f t="shared" si="11"/>
        <v>113.18421552122533</v>
      </c>
      <c r="H38" s="54">
        <f>F38/D38*100</f>
        <v>105.86087439431473</v>
      </c>
      <c r="J38" s="53"/>
    </row>
    <row r="39" spans="1:10" ht="30" x14ac:dyDescent="0.25">
      <c r="A39" s="13">
        <v>3132</v>
      </c>
      <c r="B39" s="6" t="s">
        <v>41</v>
      </c>
      <c r="C39" s="37">
        <v>242043</v>
      </c>
      <c r="D39" s="37">
        <f>12500+239250+627.21+3021.08+533.13+382.19+420.61+2025.91+357.52</f>
        <v>259117.64999999997</v>
      </c>
      <c r="E39" s="37">
        <f t="shared" ref="E39" si="13">SUM(E40:E41)</f>
        <v>0</v>
      </c>
      <c r="F39" s="37">
        <v>274304.21000000002</v>
      </c>
      <c r="G39" s="32">
        <f t="shared" si="11"/>
        <v>113.3287101878592</v>
      </c>
      <c r="H39" s="32">
        <f>F39/D39*100</f>
        <v>105.86087439431473</v>
      </c>
      <c r="J39" s="53"/>
    </row>
    <row r="40" spans="1:10" ht="30" x14ac:dyDescent="0.25">
      <c r="A40" s="13">
        <v>3133</v>
      </c>
      <c r="B40" s="6" t="s">
        <v>42</v>
      </c>
      <c r="C40" s="37">
        <v>309</v>
      </c>
      <c r="D40" s="37">
        <v>0</v>
      </c>
      <c r="E40" s="37"/>
      <c r="F40" s="37">
        <v>0</v>
      </c>
      <c r="G40" s="32">
        <f t="shared" si="11"/>
        <v>0</v>
      </c>
      <c r="H40" s="32">
        <v>0</v>
      </c>
      <c r="J40" s="53"/>
    </row>
    <row r="41" spans="1:10" s="18" customFormat="1" x14ac:dyDescent="0.25">
      <c r="A41" s="3">
        <v>32</v>
      </c>
      <c r="B41" s="7" t="s">
        <v>97</v>
      </c>
      <c r="C41" s="38">
        <f>SUM(C66+C64+C54+C47+C42)</f>
        <v>427467</v>
      </c>
      <c r="D41" s="38">
        <f t="shared" ref="D41:F41" si="14">SUM(D66+D64+D54+D47+D42)</f>
        <v>540101.92099999997</v>
      </c>
      <c r="E41" s="38">
        <f t="shared" si="14"/>
        <v>0</v>
      </c>
      <c r="F41" s="38">
        <f t="shared" si="14"/>
        <v>462759.38</v>
      </c>
      <c r="G41" s="32">
        <f t="shared" si="11"/>
        <v>108.25616480336492</v>
      </c>
      <c r="H41" s="32">
        <f t="shared" ref="H41:H54" si="15">F41/D41*100</f>
        <v>85.680010014258031</v>
      </c>
      <c r="J41" s="53"/>
    </row>
    <row r="42" spans="1:10" s="18" customFormat="1" x14ac:dyDescent="0.25">
      <c r="A42" s="3">
        <v>321</v>
      </c>
      <c r="B42" s="7" t="s">
        <v>43</v>
      </c>
      <c r="C42" s="38">
        <f>SUM(C43:C46)</f>
        <v>88445</v>
      </c>
      <c r="D42" s="38">
        <f t="shared" ref="D42:F42" si="16">SUM(D43:D46)</f>
        <v>133340.66</v>
      </c>
      <c r="E42" s="38">
        <f t="shared" si="16"/>
        <v>0</v>
      </c>
      <c r="F42" s="38">
        <f t="shared" si="16"/>
        <v>93363.89</v>
      </c>
      <c r="G42" s="32">
        <f t="shared" si="11"/>
        <v>105.56152411102946</v>
      </c>
      <c r="H42" s="32">
        <f t="shared" si="15"/>
        <v>70.019069952106122</v>
      </c>
      <c r="J42" s="53"/>
    </row>
    <row r="43" spans="1:10" x14ac:dyDescent="0.25">
      <c r="A43" s="13">
        <v>3211</v>
      </c>
      <c r="B43" s="5" t="s">
        <v>44</v>
      </c>
      <c r="C43" s="37">
        <v>32505</v>
      </c>
      <c r="D43" s="37">
        <f>5000+2000+65880.95+402.71+353+11.94+57.55+10.16+12+57.5+10.2</f>
        <v>73796.010000000009</v>
      </c>
      <c r="E43" s="37">
        <f t="shared" ref="E43" si="17">SUM(E44:E47)</f>
        <v>0</v>
      </c>
      <c r="F43" s="37">
        <v>34497.39</v>
      </c>
      <c r="G43" s="32">
        <f t="shared" si="11"/>
        <v>106.12948777111212</v>
      </c>
      <c r="H43" s="32">
        <f t="shared" si="15"/>
        <v>46.746958270508117</v>
      </c>
      <c r="J43" s="53"/>
    </row>
    <row r="44" spans="1:10" ht="30" x14ac:dyDescent="0.25">
      <c r="A44" s="13">
        <v>3212</v>
      </c>
      <c r="B44" s="6" t="s">
        <v>45</v>
      </c>
      <c r="C44" s="37">
        <v>51342</v>
      </c>
      <c r="D44" s="37">
        <f>2500+47000+266.2+1282.18+226.27+180+867+153</f>
        <v>52474.649999999994</v>
      </c>
      <c r="E44" s="37"/>
      <c r="F44" s="37">
        <v>53146.5</v>
      </c>
      <c r="G44" s="32">
        <f t="shared" si="11"/>
        <v>103.51466635503097</v>
      </c>
      <c r="H44" s="32">
        <f t="shared" si="15"/>
        <v>101.2803325034088</v>
      </c>
      <c r="J44" s="53"/>
    </row>
    <row r="45" spans="1:10" x14ac:dyDescent="0.25">
      <c r="A45" s="13">
        <v>3213</v>
      </c>
      <c r="B45" s="6" t="s">
        <v>48</v>
      </c>
      <c r="C45" s="37">
        <v>1118</v>
      </c>
      <c r="D45" s="37">
        <f>800+750+820</f>
        <v>2370</v>
      </c>
      <c r="E45" s="37"/>
      <c r="F45" s="37">
        <v>2410</v>
      </c>
      <c r="G45" s="32">
        <f t="shared" si="11"/>
        <v>215.56350626118066</v>
      </c>
      <c r="H45" s="32">
        <f t="shared" si="15"/>
        <v>101.68776371308017</v>
      </c>
      <c r="J45" s="53"/>
    </row>
    <row r="46" spans="1:10" x14ac:dyDescent="0.25">
      <c r="A46" s="13">
        <v>3214</v>
      </c>
      <c r="B46" s="6" t="s">
        <v>49</v>
      </c>
      <c r="C46" s="37">
        <v>3480</v>
      </c>
      <c r="D46" s="37">
        <f>1500+3200</f>
        <v>4700</v>
      </c>
      <c r="E46" s="37"/>
      <c r="F46" s="37">
        <v>3310</v>
      </c>
      <c r="G46" s="32">
        <f t="shared" si="11"/>
        <v>95.114942528735639</v>
      </c>
      <c r="H46" s="32">
        <f t="shared" si="15"/>
        <v>70.425531914893611</v>
      </c>
      <c r="J46" s="53"/>
    </row>
    <row r="47" spans="1:10" s="18" customFormat="1" x14ac:dyDescent="0.25">
      <c r="A47" s="3">
        <v>322</v>
      </c>
      <c r="B47" s="7" t="s">
        <v>46</v>
      </c>
      <c r="C47" s="38">
        <f>SUM(C48:C53)</f>
        <v>218753</v>
      </c>
      <c r="D47" s="38">
        <f t="shared" ref="D47:F47" si="18">SUM(D48:D53)</f>
        <v>233910.701</v>
      </c>
      <c r="E47" s="38">
        <f t="shared" si="18"/>
        <v>0</v>
      </c>
      <c r="F47" s="38">
        <f t="shared" si="18"/>
        <v>218628.41</v>
      </c>
      <c r="G47" s="32">
        <f t="shared" si="11"/>
        <v>99.943045352520869</v>
      </c>
      <c r="H47" s="32">
        <f t="shared" si="15"/>
        <v>93.466613141397076</v>
      </c>
      <c r="J47" s="53"/>
    </row>
    <row r="48" spans="1:10" x14ac:dyDescent="0.25">
      <c r="A48" s="13">
        <v>3221</v>
      </c>
      <c r="B48" s="21" t="s">
        <v>47</v>
      </c>
      <c r="C48" s="37">
        <v>25926</v>
      </c>
      <c r="D48" s="37">
        <f>24000+200+800+2000</f>
        <v>27000</v>
      </c>
      <c r="E48" s="37"/>
      <c r="F48" s="37">
        <v>31320</v>
      </c>
      <c r="G48" s="32">
        <f t="shared" si="11"/>
        <v>120.80536912751678</v>
      </c>
      <c r="H48" s="32">
        <f t="shared" si="15"/>
        <v>115.99999999999999</v>
      </c>
      <c r="J48" s="53"/>
    </row>
    <row r="49" spans="1:10" x14ac:dyDescent="0.25">
      <c r="A49" s="13">
        <v>3222</v>
      </c>
      <c r="B49" s="6" t="s">
        <v>50</v>
      </c>
      <c r="C49" s="37">
        <v>99301</v>
      </c>
      <c r="D49" s="37">
        <f>1000+25000+1500+500+1004.141+6940.7+3208.42+100000+100</f>
        <v>139253.261</v>
      </c>
      <c r="E49" s="37"/>
      <c r="F49" s="37">
        <v>133525.68</v>
      </c>
      <c r="G49" s="32">
        <f t="shared" si="11"/>
        <v>134.46559450559411</v>
      </c>
      <c r="H49" s="32">
        <f t="shared" si="15"/>
        <v>95.886932227748687</v>
      </c>
      <c r="J49" s="53"/>
    </row>
    <row r="50" spans="1:10" x14ac:dyDescent="0.25">
      <c r="A50" s="13">
        <v>3223</v>
      </c>
      <c r="B50" s="6" t="s">
        <v>51</v>
      </c>
      <c r="C50" s="37">
        <v>84980</v>
      </c>
      <c r="D50" s="37">
        <f>40000+1800+8527.44</f>
        <v>50327.44</v>
      </c>
      <c r="E50" s="37"/>
      <c r="F50" s="37">
        <v>36304.44</v>
      </c>
      <c r="G50" s="32">
        <f t="shared" si="11"/>
        <v>42.721157919510475</v>
      </c>
      <c r="H50" s="32">
        <f t="shared" si="15"/>
        <v>72.136472667793157</v>
      </c>
      <c r="J50" s="53"/>
    </row>
    <row r="51" spans="1:10" ht="30" x14ac:dyDescent="0.25">
      <c r="A51" s="13">
        <v>3224</v>
      </c>
      <c r="B51" s="6" t="s">
        <v>52</v>
      </c>
      <c r="C51" s="37">
        <v>1620</v>
      </c>
      <c r="D51" s="37">
        <f>2000</f>
        <v>2000</v>
      </c>
      <c r="E51" s="37"/>
      <c r="F51" s="37">
        <v>4054.1</v>
      </c>
      <c r="G51" s="32">
        <f t="shared" si="11"/>
        <v>250.25308641975309</v>
      </c>
      <c r="H51" s="32">
        <f t="shared" si="15"/>
        <v>202.70500000000001</v>
      </c>
      <c r="J51" s="53"/>
    </row>
    <row r="52" spans="1:10" x14ac:dyDescent="0.25">
      <c r="A52" s="13">
        <v>3225</v>
      </c>
      <c r="B52" s="6" t="s">
        <v>53</v>
      </c>
      <c r="C52" s="37">
        <v>5627</v>
      </c>
      <c r="D52" s="37">
        <f>6000+8000</f>
        <v>14000</v>
      </c>
      <c r="E52" s="37"/>
      <c r="F52" s="37">
        <v>12162.71</v>
      </c>
      <c r="G52" s="32">
        <f t="shared" si="11"/>
        <v>216.1491025413186</v>
      </c>
      <c r="H52" s="32">
        <f t="shared" si="15"/>
        <v>86.876499999999993</v>
      </c>
      <c r="J52" s="53"/>
    </row>
    <row r="53" spans="1:10" x14ac:dyDescent="0.25">
      <c r="A53" s="13">
        <v>3227</v>
      </c>
      <c r="B53" s="6" t="s">
        <v>54</v>
      </c>
      <c r="C53" s="37">
        <v>1299</v>
      </c>
      <c r="D53" s="37">
        <v>1330</v>
      </c>
      <c r="E53" s="37"/>
      <c r="F53" s="37">
        <v>1261.48</v>
      </c>
      <c r="G53" s="32">
        <f t="shared" si="11"/>
        <v>97.111624326404936</v>
      </c>
      <c r="H53" s="32">
        <f t="shared" si="15"/>
        <v>94.848120300751887</v>
      </c>
      <c r="J53" s="53"/>
    </row>
    <row r="54" spans="1:10" s="18" customFormat="1" x14ac:dyDescent="0.25">
      <c r="A54" s="3">
        <v>323</v>
      </c>
      <c r="B54" s="8" t="s">
        <v>55</v>
      </c>
      <c r="C54" s="38">
        <f>SUM(C55:C63)</f>
        <v>86630</v>
      </c>
      <c r="D54" s="38">
        <f t="shared" ref="D54:F54" si="19">SUM(D55:D63)</f>
        <v>122201.99</v>
      </c>
      <c r="E54" s="38">
        <f t="shared" si="19"/>
        <v>0</v>
      </c>
      <c r="F54" s="38">
        <f t="shared" si="19"/>
        <v>95852.560000000012</v>
      </c>
      <c r="G54" s="32">
        <f t="shared" si="11"/>
        <v>110.64591942745008</v>
      </c>
      <c r="H54" s="32">
        <f t="shared" si="15"/>
        <v>78.437806127379758</v>
      </c>
      <c r="J54" s="53"/>
    </row>
    <row r="55" spans="1:10" x14ac:dyDescent="0.25">
      <c r="A55" s="13">
        <v>3231</v>
      </c>
      <c r="B55" s="6" t="s">
        <v>56</v>
      </c>
      <c r="C55" s="37">
        <v>35734</v>
      </c>
      <c r="D55" s="37">
        <f>4500+53574.18+1862.2</f>
        <v>59936.38</v>
      </c>
      <c r="E55" s="37"/>
      <c r="F55" s="37">
        <v>22995.35</v>
      </c>
      <c r="G55" s="32">
        <f t="shared" si="11"/>
        <v>64.351457995186649</v>
      </c>
      <c r="H55" s="32">
        <f t="shared" ref="H55:H65" si="20">F55/D55*100</f>
        <v>38.366264362312172</v>
      </c>
      <c r="J55" s="53"/>
    </row>
    <row r="56" spans="1:10" x14ac:dyDescent="0.25">
      <c r="A56" s="13">
        <v>3232</v>
      </c>
      <c r="B56" s="6" t="s">
        <v>57</v>
      </c>
      <c r="C56" s="37">
        <v>3161</v>
      </c>
      <c r="D56" s="37">
        <f>9000</f>
        <v>9000</v>
      </c>
      <c r="E56" s="37"/>
      <c r="F56" s="37">
        <v>10935.82</v>
      </c>
      <c r="G56" s="32">
        <f t="shared" si="11"/>
        <v>345.96077190762418</v>
      </c>
      <c r="H56" s="32">
        <f t="shared" si="20"/>
        <v>121.50911111111111</v>
      </c>
      <c r="J56" s="53"/>
    </row>
    <row r="57" spans="1:10" x14ac:dyDescent="0.25">
      <c r="A57" s="13">
        <v>3233</v>
      </c>
      <c r="B57" s="6" t="s">
        <v>58</v>
      </c>
      <c r="C57" s="37">
        <v>6441</v>
      </c>
      <c r="D57" s="37">
        <f>50+6636.8+450</f>
        <v>7136.8</v>
      </c>
      <c r="E57" s="37"/>
      <c r="F57" s="37">
        <v>5665.62</v>
      </c>
      <c r="G57" s="32">
        <f t="shared" si="11"/>
        <v>87.961807172799254</v>
      </c>
      <c r="H57" s="32">
        <f t="shared" si="20"/>
        <v>79.385999327429658</v>
      </c>
      <c r="J57" s="53"/>
    </row>
    <row r="58" spans="1:10" x14ac:dyDescent="0.25">
      <c r="A58" s="13">
        <v>3234</v>
      </c>
      <c r="B58" s="6" t="s">
        <v>59</v>
      </c>
      <c r="C58" s="37">
        <v>6983</v>
      </c>
      <c r="D58" s="37">
        <f>6500</f>
        <v>6500</v>
      </c>
      <c r="E58" s="37"/>
      <c r="F58" s="37">
        <v>7383.31</v>
      </c>
      <c r="G58" s="32">
        <f t="shared" si="11"/>
        <v>105.73263640269226</v>
      </c>
      <c r="H58" s="32">
        <f t="shared" si="20"/>
        <v>113.58938461538462</v>
      </c>
      <c r="J58" s="53"/>
    </row>
    <row r="59" spans="1:10" x14ac:dyDescent="0.25">
      <c r="A59" s="13">
        <v>3235</v>
      </c>
      <c r="B59" s="6" t="s">
        <v>117</v>
      </c>
      <c r="C59" s="37">
        <v>2331</v>
      </c>
      <c r="D59" s="37">
        <f>3400</f>
        <v>3400</v>
      </c>
      <c r="E59" s="37"/>
      <c r="F59" s="37">
        <v>3561.15</v>
      </c>
      <c r="G59" s="32">
        <f t="shared" si="11"/>
        <v>152.77348777348777</v>
      </c>
      <c r="H59" s="32">
        <f t="shared" si="20"/>
        <v>104.73970588235295</v>
      </c>
      <c r="J59" s="53"/>
    </row>
    <row r="60" spans="1:10" x14ac:dyDescent="0.25">
      <c r="A60" s="13">
        <v>3236</v>
      </c>
      <c r="B60" s="6" t="s">
        <v>61</v>
      </c>
      <c r="C60" s="37">
        <v>7781</v>
      </c>
      <c r="D60" s="37">
        <v>6000</v>
      </c>
      <c r="E60" s="37"/>
      <c r="F60" s="37">
        <v>6032.97</v>
      </c>
      <c r="G60" s="32">
        <f t="shared" si="11"/>
        <v>77.534635650944622</v>
      </c>
      <c r="H60" s="32">
        <f t="shared" si="20"/>
        <v>100.54950000000001</v>
      </c>
      <c r="J60" s="53"/>
    </row>
    <row r="61" spans="1:10" x14ac:dyDescent="0.25">
      <c r="A61" s="13">
        <v>3237</v>
      </c>
      <c r="B61" s="6" t="s">
        <v>62</v>
      </c>
      <c r="C61" s="37">
        <v>10034</v>
      </c>
      <c r="D61" s="37">
        <f>2655+12500+1850</f>
        <v>17005</v>
      </c>
      <c r="E61" s="37"/>
      <c r="F61" s="37">
        <v>24432.75</v>
      </c>
      <c r="G61" s="32">
        <f t="shared" si="11"/>
        <v>243.49960135539166</v>
      </c>
      <c r="H61" s="32">
        <f t="shared" si="20"/>
        <v>143.67980005880622</v>
      </c>
      <c r="J61" s="53"/>
    </row>
    <row r="62" spans="1:10" x14ac:dyDescent="0.25">
      <c r="A62" s="13">
        <v>3238</v>
      </c>
      <c r="B62" s="6" t="s">
        <v>63</v>
      </c>
      <c r="C62" s="37">
        <v>10577</v>
      </c>
      <c r="D62" s="37">
        <f>6000+200+1992.47+2654.45</f>
        <v>10846.919999999998</v>
      </c>
      <c r="E62" s="37"/>
      <c r="F62" s="37">
        <v>8489.74</v>
      </c>
      <c r="G62" s="32">
        <f t="shared" si="11"/>
        <v>80.266048974189275</v>
      </c>
      <c r="H62" s="32">
        <f t="shared" si="20"/>
        <v>78.26866981594776</v>
      </c>
      <c r="J62" s="53"/>
    </row>
    <row r="63" spans="1:10" x14ac:dyDescent="0.25">
      <c r="A63" s="13">
        <v>3239</v>
      </c>
      <c r="B63" s="6" t="s">
        <v>64</v>
      </c>
      <c r="C63" s="37">
        <v>3588</v>
      </c>
      <c r="D63" s="37">
        <f>1500+200+676.89</f>
        <v>2376.89</v>
      </c>
      <c r="E63" s="37"/>
      <c r="F63" s="37">
        <v>6355.85</v>
      </c>
      <c r="G63" s="32">
        <f t="shared" si="11"/>
        <v>177.14186176142698</v>
      </c>
      <c r="H63" s="32">
        <f t="shared" si="20"/>
        <v>267.40194119206194</v>
      </c>
      <c r="J63" s="53"/>
    </row>
    <row r="64" spans="1:10" s="18" customFormat="1" ht="30" x14ac:dyDescent="0.25">
      <c r="A64" s="3">
        <v>324</v>
      </c>
      <c r="B64" s="8" t="s">
        <v>65</v>
      </c>
      <c r="C64" s="38">
        <f>SUM(C65)</f>
        <v>652</v>
      </c>
      <c r="D64" s="38">
        <f t="shared" ref="D64:F64" si="21">SUM(D65)</f>
        <v>1500</v>
      </c>
      <c r="E64" s="38">
        <f t="shared" si="21"/>
        <v>0</v>
      </c>
      <c r="F64" s="38">
        <f t="shared" si="21"/>
        <v>2060.09</v>
      </c>
      <c r="G64" s="32">
        <f t="shared" si="11"/>
        <v>315.96472392638037</v>
      </c>
      <c r="H64" s="32">
        <f t="shared" si="20"/>
        <v>137.33933333333334</v>
      </c>
      <c r="J64" s="53"/>
    </row>
    <row r="65" spans="1:10" ht="30" x14ac:dyDescent="0.25">
      <c r="A65" s="13">
        <v>3241</v>
      </c>
      <c r="B65" s="6" t="s">
        <v>65</v>
      </c>
      <c r="C65" s="37">
        <v>652</v>
      </c>
      <c r="D65" s="37">
        <v>1500</v>
      </c>
      <c r="E65" s="37"/>
      <c r="F65" s="37">
        <v>2060.09</v>
      </c>
      <c r="G65" s="32">
        <f t="shared" si="11"/>
        <v>315.96472392638037</v>
      </c>
      <c r="H65" s="32">
        <f t="shared" si="20"/>
        <v>137.33933333333334</v>
      </c>
      <c r="J65" s="53"/>
    </row>
    <row r="66" spans="1:10" s="18" customFormat="1" x14ac:dyDescent="0.25">
      <c r="A66" s="3">
        <v>329</v>
      </c>
      <c r="B66" s="8" t="s">
        <v>66</v>
      </c>
      <c r="C66" s="38">
        <f>SUM(C67:C73)</f>
        <v>32987</v>
      </c>
      <c r="D66" s="38">
        <f t="shared" ref="D66:F66" si="22">SUM(D67:D73)</f>
        <v>49148.57</v>
      </c>
      <c r="E66" s="38">
        <f t="shared" si="22"/>
        <v>0</v>
      </c>
      <c r="F66" s="38">
        <f t="shared" si="22"/>
        <v>52854.429999999993</v>
      </c>
      <c r="G66" s="32">
        <f t="shared" si="11"/>
        <v>160.22805953860612</v>
      </c>
      <c r="H66" s="32">
        <f>F66/D66*100</f>
        <v>107.54011764737</v>
      </c>
      <c r="J66" s="53"/>
    </row>
    <row r="67" spans="1:10" x14ac:dyDescent="0.25">
      <c r="A67" s="13">
        <v>3291</v>
      </c>
      <c r="B67" s="6" t="s">
        <v>67</v>
      </c>
      <c r="C67" s="37"/>
      <c r="D67" s="37"/>
      <c r="E67" s="37"/>
      <c r="F67" s="37"/>
      <c r="G67" s="32"/>
      <c r="H67" s="32"/>
      <c r="J67" s="53"/>
    </row>
    <row r="68" spans="1:10" x14ac:dyDescent="0.25">
      <c r="A68" s="13">
        <v>3292</v>
      </c>
      <c r="B68" s="6" t="s">
        <v>68</v>
      </c>
      <c r="C68" s="37">
        <v>3886</v>
      </c>
      <c r="D68" s="37">
        <f>4000+132.72</f>
        <v>4132.72</v>
      </c>
      <c r="E68" s="37"/>
      <c r="F68" s="37">
        <v>4319</v>
      </c>
      <c r="G68" s="32">
        <f t="shared" ref="G68:G76" si="23">F68/C68*100</f>
        <v>111.14256304683478</v>
      </c>
      <c r="H68" s="32">
        <f t="shared" ref="H68:H84" si="24">F68/D68*100</f>
        <v>104.50744303993496</v>
      </c>
      <c r="J68" s="53"/>
    </row>
    <row r="69" spans="1:10" x14ac:dyDescent="0.25">
      <c r="A69" s="13">
        <v>3293</v>
      </c>
      <c r="B69" s="6" t="s">
        <v>69</v>
      </c>
      <c r="C69" s="37">
        <v>2585</v>
      </c>
      <c r="D69" s="37">
        <f>80+1000+200</f>
        <v>1280</v>
      </c>
      <c r="E69" s="37"/>
      <c r="F69" s="37">
        <v>963.04</v>
      </c>
      <c r="G69" s="32">
        <f t="shared" si="23"/>
        <v>37.254932301740808</v>
      </c>
      <c r="H69" s="32">
        <f t="shared" si="24"/>
        <v>75.237499999999997</v>
      </c>
      <c r="J69" s="53"/>
    </row>
    <row r="70" spans="1:10" x14ac:dyDescent="0.25">
      <c r="A70" s="13">
        <v>3294</v>
      </c>
      <c r="B70" s="6" t="s">
        <v>70</v>
      </c>
      <c r="C70" s="37">
        <v>108</v>
      </c>
      <c r="D70" s="37">
        <f>150+100</f>
        <v>250</v>
      </c>
      <c r="E70" s="37"/>
      <c r="F70" s="37">
        <v>108.08</v>
      </c>
      <c r="G70" s="32">
        <f t="shared" si="23"/>
        <v>100.07407407407408</v>
      </c>
      <c r="H70" s="32">
        <f t="shared" si="24"/>
        <v>43.231999999999999</v>
      </c>
      <c r="J70" s="53"/>
    </row>
    <row r="71" spans="1:10" x14ac:dyDescent="0.25">
      <c r="A71" s="13">
        <v>3295</v>
      </c>
      <c r="B71" s="6" t="s">
        <v>71</v>
      </c>
      <c r="C71" s="37">
        <v>6131</v>
      </c>
      <c r="D71" s="37">
        <f>55+5040</f>
        <v>5095</v>
      </c>
      <c r="E71" s="37"/>
      <c r="F71" s="37">
        <v>5061.6099999999997</v>
      </c>
      <c r="G71" s="32">
        <f t="shared" si="23"/>
        <v>82.557657804599572</v>
      </c>
      <c r="H71" s="32">
        <f t="shared" si="24"/>
        <v>99.34465161923454</v>
      </c>
      <c r="J71" s="53"/>
    </row>
    <row r="72" spans="1:10" x14ac:dyDescent="0.25">
      <c r="A72" s="13">
        <v>3296</v>
      </c>
      <c r="B72" s="6" t="s">
        <v>72</v>
      </c>
      <c r="C72" s="37">
        <v>7493</v>
      </c>
      <c r="D72" s="37">
        <v>0</v>
      </c>
      <c r="E72" s="37"/>
      <c r="F72" s="37">
        <v>0</v>
      </c>
      <c r="G72" s="32">
        <f t="shared" si="23"/>
        <v>0</v>
      </c>
      <c r="H72" s="32">
        <v>0</v>
      </c>
      <c r="J72" s="53"/>
    </row>
    <row r="73" spans="1:10" x14ac:dyDescent="0.25">
      <c r="A73" s="13">
        <v>3299</v>
      </c>
      <c r="B73" s="6" t="s">
        <v>66</v>
      </c>
      <c r="C73" s="37">
        <v>12784</v>
      </c>
      <c r="D73" s="37">
        <f>1200+1990.85+34000+1200</f>
        <v>38390.85</v>
      </c>
      <c r="E73" s="37"/>
      <c r="F73" s="37">
        <v>42402.7</v>
      </c>
      <c r="G73" s="32">
        <f t="shared" si="23"/>
        <v>331.6857008760951</v>
      </c>
      <c r="H73" s="32">
        <f t="shared" si="24"/>
        <v>110.45001608456182</v>
      </c>
      <c r="J73" s="53"/>
    </row>
    <row r="74" spans="1:10" s="18" customFormat="1" x14ac:dyDescent="0.25">
      <c r="A74" s="3">
        <v>34</v>
      </c>
      <c r="B74" s="8" t="s">
        <v>73</v>
      </c>
      <c r="C74" s="38">
        <f>C75</f>
        <v>6132</v>
      </c>
      <c r="D74" s="38">
        <f t="shared" ref="D74:F74" si="25">D75</f>
        <v>1130</v>
      </c>
      <c r="E74" s="38">
        <f t="shared" si="25"/>
        <v>0</v>
      </c>
      <c r="F74" s="38">
        <f t="shared" si="25"/>
        <v>1491.85</v>
      </c>
      <c r="G74" s="32">
        <f t="shared" si="23"/>
        <v>24.328930202217872</v>
      </c>
      <c r="H74" s="32">
        <f t="shared" si="24"/>
        <v>132.02212389380529</v>
      </c>
      <c r="J74" s="53"/>
    </row>
    <row r="75" spans="1:10" s="18" customFormat="1" x14ac:dyDescent="0.25">
      <c r="A75" s="3">
        <v>343</v>
      </c>
      <c r="B75" s="8" t="s">
        <v>74</v>
      </c>
      <c r="C75" s="38">
        <f>SUM(C76:C78)</f>
        <v>6132</v>
      </c>
      <c r="D75" s="38">
        <f t="shared" ref="D75:F75" si="26">SUM(D76:D78)</f>
        <v>1130</v>
      </c>
      <c r="E75" s="38">
        <f t="shared" si="26"/>
        <v>0</v>
      </c>
      <c r="F75" s="38">
        <f t="shared" si="26"/>
        <v>1491.85</v>
      </c>
      <c r="G75" s="32">
        <f t="shared" si="23"/>
        <v>24.328930202217872</v>
      </c>
      <c r="H75" s="32">
        <f t="shared" si="24"/>
        <v>132.02212389380529</v>
      </c>
      <c r="J75" s="53"/>
    </row>
    <row r="76" spans="1:10" x14ac:dyDescent="0.25">
      <c r="A76" s="13">
        <v>3431</v>
      </c>
      <c r="B76" s="6" t="s">
        <v>75</v>
      </c>
      <c r="C76" s="37">
        <v>1120</v>
      </c>
      <c r="D76" s="37">
        <v>1100</v>
      </c>
      <c r="E76" s="37"/>
      <c r="F76" s="37">
        <v>1434.09</v>
      </c>
      <c r="G76" s="32">
        <f t="shared" si="23"/>
        <v>128.04374999999999</v>
      </c>
      <c r="H76" s="32">
        <f t="shared" si="24"/>
        <v>130.37181818181818</v>
      </c>
      <c r="J76" s="53"/>
    </row>
    <row r="77" spans="1:10" x14ac:dyDescent="0.25">
      <c r="A77" s="13">
        <v>3433</v>
      </c>
      <c r="B77" s="6" t="s">
        <v>76</v>
      </c>
      <c r="C77" s="37">
        <v>2774</v>
      </c>
      <c r="D77" s="37">
        <v>0</v>
      </c>
      <c r="E77" s="37"/>
      <c r="F77" s="37">
        <v>0</v>
      </c>
      <c r="G77" s="32"/>
      <c r="H77" s="32">
        <v>0</v>
      </c>
      <c r="J77" s="53"/>
    </row>
    <row r="78" spans="1:10" x14ac:dyDescent="0.25">
      <c r="A78" s="13">
        <v>3434</v>
      </c>
      <c r="B78" s="6" t="s">
        <v>77</v>
      </c>
      <c r="C78" s="37">
        <v>2238</v>
      </c>
      <c r="D78" s="37">
        <v>30</v>
      </c>
      <c r="E78" s="37"/>
      <c r="F78" s="37">
        <v>57.76</v>
      </c>
      <c r="G78" s="32">
        <f t="shared" ref="G78:G84" si="27">F78/C78*100</f>
        <v>2.5808757819481678</v>
      </c>
      <c r="H78" s="32">
        <f t="shared" si="24"/>
        <v>192.53333333333333</v>
      </c>
      <c r="J78" s="53"/>
    </row>
    <row r="79" spans="1:10" s="18" customFormat="1" ht="30" x14ac:dyDescent="0.25">
      <c r="A79" s="3">
        <v>372</v>
      </c>
      <c r="B79" s="8" t="s">
        <v>108</v>
      </c>
      <c r="C79" s="38">
        <f>SUM(C80:C81)</f>
        <v>49867</v>
      </c>
      <c r="D79" s="38">
        <f t="shared" ref="D79:F79" si="28">SUM(D80:D81)</f>
        <v>59154.95</v>
      </c>
      <c r="E79" s="38">
        <f t="shared" si="28"/>
        <v>0</v>
      </c>
      <c r="F79" s="38">
        <f t="shared" si="28"/>
        <v>49101.18</v>
      </c>
      <c r="G79" s="32">
        <f t="shared" si="27"/>
        <v>98.46427497142399</v>
      </c>
      <c r="H79" s="32">
        <f t="shared" si="24"/>
        <v>83.004347058023043</v>
      </c>
      <c r="J79" s="53"/>
    </row>
    <row r="80" spans="1:10" x14ac:dyDescent="0.25">
      <c r="A80" s="13">
        <v>3721</v>
      </c>
      <c r="B80" s="6" t="s">
        <v>109</v>
      </c>
      <c r="C80" s="37">
        <v>823</v>
      </c>
      <c r="D80" s="37">
        <f>1150+1327.23</f>
        <v>2477.23</v>
      </c>
      <c r="E80" s="37"/>
      <c r="F80" s="37">
        <v>1090</v>
      </c>
      <c r="G80" s="32">
        <f t="shared" si="27"/>
        <v>132.44228432563793</v>
      </c>
      <c r="H80" s="32">
        <f t="shared" si="24"/>
        <v>44.00075891217206</v>
      </c>
      <c r="J80" s="53"/>
    </row>
    <row r="81" spans="1:10" x14ac:dyDescent="0.25">
      <c r="A81" s="13">
        <v>3722</v>
      </c>
      <c r="B81" s="6" t="s">
        <v>79</v>
      </c>
      <c r="C81" s="37">
        <v>49044</v>
      </c>
      <c r="D81" s="37">
        <f>2100+14458+33199.02+6920.7</f>
        <v>56677.719999999994</v>
      </c>
      <c r="E81" s="37"/>
      <c r="F81" s="37">
        <v>48011.18</v>
      </c>
      <c r="G81" s="32">
        <f t="shared" si="27"/>
        <v>97.894095098279095</v>
      </c>
      <c r="H81" s="32">
        <f t="shared" si="24"/>
        <v>84.709088509558967</v>
      </c>
      <c r="J81" s="53"/>
    </row>
    <row r="82" spans="1:10" s="18" customFormat="1" x14ac:dyDescent="0.25">
      <c r="A82" s="3">
        <v>38</v>
      </c>
      <c r="B82" s="8" t="s">
        <v>110</v>
      </c>
      <c r="C82" s="38">
        <f>C83</f>
        <v>1161</v>
      </c>
      <c r="D82" s="38">
        <f t="shared" ref="D82:F82" si="29">D83</f>
        <v>1500</v>
      </c>
      <c r="E82" s="38">
        <f t="shared" si="29"/>
        <v>0</v>
      </c>
      <c r="F82" s="38">
        <f t="shared" si="29"/>
        <v>3433.6</v>
      </c>
      <c r="G82" s="32">
        <f t="shared" si="27"/>
        <v>295.74504737295433</v>
      </c>
      <c r="H82" s="52">
        <f t="shared" si="24"/>
        <v>228.90666666666669</v>
      </c>
      <c r="J82" s="53"/>
    </row>
    <row r="83" spans="1:10" s="18" customFormat="1" x14ac:dyDescent="0.25">
      <c r="A83" s="3">
        <v>381</v>
      </c>
      <c r="B83" s="8" t="s">
        <v>80</v>
      </c>
      <c r="C83" s="38">
        <f>SUM(C84:C85)</f>
        <v>1161</v>
      </c>
      <c r="D83" s="38">
        <f t="shared" ref="D83:F83" si="30">SUM(D84:D85)</f>
        <v>1500</v>
      </c>
      <c r="E83" s="38">
        <f t="shared" si="30"/>
        <v>0</v>
      </c>
      <c r="F83" s="38">
        <f t="shared" si="30"/>
        <v>3433.6</v>
      </c>
      <c r="G83" s="32">
        <f t="shared" si="27"/>
        <v>295.74504737295433</v>
      </c>
      <c r="H83" s="52">
        <f t="shared" si="24"/>
        <v>228.90666666666669</v>
      </c>
      <c r="J83" s="53"/>
    </row>
    <row r="84" spans="1:10" x14ac:dyDescent="0.25">
      <c r="A84" s="13">
        <v>3811</v>
      </c>
      <c r="B84" s="6" t="s">
        <v>81</v>
      </c>
      <c r="C84" s="37">
        <v>1161</v>
      </c>
      <c r="D84" s="37">
        <f>1500</f>
        <v>1500</v>
      </c>
      <c r="E84" s="37"/>
      <c r="F84" s="37">
        <v>3433.6</v>
      </c>
      <c r="G84" s="32">
        <f t="shared" si="27"/>
        <v>295.74504737295433</v>
      </c>
      <c r="H84" s="52">
        <f t="shared" si="24"/>
        <v>228.90666666666669</v>
      </c>
      <c r="J84" s="53"/>
    </row>
    <row r="85" spans="1:10" x14ac:dyDescent="0.25">
      <c r="A85" s="13">
        <v>3812</v>
      </c>
      <c r="B85" s="6" t="s">
        <v>82</v>
      </c>
      <c r="C85" s="37"/>
      <c r="D85" s="37"/>
      <c r="E85" s="37"/>
      <c r="F85" s="37"/>
      <c r="G85" s="32"/>
      <c r="H85" s="32"/>
      <c r="J85" s="53"/>
    </row>
    <row r="86" spans="1:10" s="18" customFormat="1" ht="30" x14ac:dyDescent="0.25">
      <c r="A86" s="3">
        <v>4</v>
      </c>
      <c r="B86" s="8" t="s">
        <v>89</v>
      </c>
      <c r="C86" s="38">
        <f>SUM(C91+C88+C87)</f>
        <v>58509</v>
      </c>
      <c r="D86" s="38">
        <f t="shared" ref="D86:F86" si="31">SUM(D91+D88+D87)</f>
        <v>32220</v>
      </c>
      <c r="E86" s="38">
        <f t="shared" si="31"/>
        <v>0</v>
      </c>
      <c r="F86" s="38">
        <f t="shared" si="31"/>
        <v>33053.089999999997</v>
      </c>
      <c r="G86" s="32">
        <f>F86/C86*100</f>
        <v>56.492317421251428</v>
      </c>
      <c r="H86" s="32">
        <f>F86/D86*100</f>
        <v>102.58563004345127</v>
      </c>
      <c r="J86" s="53"/>
    </row>
    <row r="87" spans="1:10" s="18" customFormat="1" x14ac:dyDescent="0.25">
      <c r="A87" s="3">
        <v>421</v>
      </c>
      <c r="B87" s="8" t="s">
        <v>84</v>
      </c>
      <c r="C87" s="38">
        <v>17600</v>
      </c>
      <c r="D87" s="38">
        <v>0</v>
      </c>
      <c r="E87" s="38"/>
      <c r="F87" s="38">
        <v>0</v>
      </c>
      <c r="G87" s="32"/>
      <c r="H87" s="32">
        <v>0</v>
      </c>
      <c r="J87" s="53"/>
    </row>
    <row r="88" spans="1:10" s="18" customFormat="1" x14ac:dyDescent="0.25">
      <c r="A88" s="3">
        <v>422</v>
      </c>
      <c r="B88" s="8" t="s">
        <v>83</v>
      </c>
      <c r="C88" s="38">
        <f>SUM(C89:C90)</f>
        <v>8215</v>
      </c>
      <c r="D88" s="38">
        <f t="shared" ref="D88:F88" si="32">SUM(D89:D90)</f>
        <v>13000</v>
      </c>
      <c r="E88" s="38">
        <f t="shared" si="32"/>
        <v>0</v>
      </c>
      <c r="F88" s="38">
        <f t="shared" si="32"/>
        <v>12795.8</v>
      </c>
      <c r="G88" s="32">
        <f>F88/C88*100</f>
        <v>155.76141205112597</v>
      </c>
      <c r="H88" s="32">
        <f t="shared" ref="H88:H89" si="33">F88/D88*100</f>
        <v>98.42923076923077</v>
      </c>
      <c r="J88" s="53"/>
    </row>
    <row r="89" spans="1:10" x14ac:dyDescent="0.25">
      <c r="A89" s="13">
        <v>4221</v>
      </c>
      <c r="B89" s="6" t="s">
        <v>85</v>
      </c>
      <c r="C89" s="37">
        <v>6735</v>
      </c>
      <c r="D89" s="37">
        <v>8000</v>
      </c>
      <c r="E89" s="37"/>
      <c r="F89" s="37">
        <v>8030</v>
      </c>
      <c r="G89" s="32">
        <f>F89/C89*100</f>
        <v>119.22791388270231</v>
      </c>
      <c r="H89" s="32">
        <f t="shared" si="33"/>
        <v>100.37499999999999</v>
      </c>
      <c r="J89" s="53"/>
    </row>
    <row r="90" spans="1:10" x14ac:dyDescent="0.25">
      <c r="A90" s="13">
        <v>4223</v>
      </c>
      <c r="B90" s="6" t="s">
        <v>86</v>
      </c>
      <c r="C90" s="37">
        <v>1480</v>
      </c>
      <c r="D90" s="37">
        <v>5000</v>
      </c>
      <c r="E90" s="37"/>
      <c r="F90" s="37">
        <v>4765.8</v>
      </c>
      <c r="G90" s="32">
        <f>F90/C90*100</f>
        <v>322.01351351351349</v>
      </c>
      <c r="H90" s="32">
        <f t="shared" ref="H90" si="34">F90/D90*100</f>
        <v>95.316000000000003</v>
      </c>
      <c r="J90" s="53"/>
    </row>
    <row r="91" spans="1:10" s="18" customFormat="1" ht="30" x14ac:dyDescent="0.25">
      <c r="A91" s="3">
        <v>424</v>
      </c>
      <c r="B91" s="8" t="s">
        <v>87</v>
      </c>
      <c r="C91" s="38">
        <f>SUM(C92)</f>
        <v>32694</v>
      </c>
      <c r="D91" s="38">
        <f t="shared" ref="D91:F91" si="35">SUM(D92)</f>
        <v>19220</v>
      </c>
      <c r="E91" s="38">
        <f t="shared" si="35"/>
        <v>0</v>
      </c>
      <c r="F91" s="38">
        <f t="shared" si="35"/>
        <v>20257.29</v>
      </c>
      <c r="G91" s="32">
        <f>F91/C91*100</f>
        <v>61.960267939071386</v>
      </c>
      <c r="H91" s="52">
        <f>F91/D91*100</f>
        <v>105.39693028095733</v>
      </c>
      <c r="J91" s="53"/>
    </row>
    <row r="92" spans="1:10" x14ac:dyDescent="0.25">
      <c r="A92" s="13">
        <v>4241</v>
      </c>
      <c r="B92" s="6" t="s">
        <v>88</v>
      </c>
      <c r="C92" s="37">
        <v>32694</v>
      </c>
      <c r="D92" s="37">
        <v>19220</v>
      </c>
      <c r="E92" s="37"/>
      <c r="F92" s="37">
        <v>20257.29</v>
      </c>
      <c r="G92" s="32">
        <f>F92/C92*100</f>
        <v>61.960267939071386</v>
      </c>
      <c r="H92" s="52">
        <f>F92/D92*100</f>
        <v>105.39693028095733</v>
      </c>
      <c r="J92" s="53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19" workbookViewId="0">
      <selection activeCell="E9" sqref="E9"/>
    </sheetView>
  </sheetViews>
  <sheetFormatPr defaultRowHeight="15" x14ac:dyDescent="0.25"/>
  <cols>
    <col min="1" max="1" width="10.85546875" style="10" customWidth="1"/>
    <col min="2" max="2" width="50.7109375" customWidth="1"/>
    <col min="3" max="3" width="17.140625" style="44" customWidth="1"/>
    <col min="4" max="4" width="16.5703125" style="44" customWidth="1"/>
    <col min="5" max="5" width="17" style="44" customWidth="1"/>
    <col min="6" max="6" width="14.28515625" style="44" customWidth="1"/>
    <col min="9" max="9" width="22.42578125" customWidth="1"/>
  </cols>
  <sheetData>
    <row r="1" spans="1:9" ht="15.75" x14ac:dyDescent="0.25">
      <c r="A1" s="11"/>
      <c r="B1" s="18" t="s">
        <v>91</v>
      </c>
    </row>
    <row r="2" spans="1:9" ht="15.75" x14ac:dyDescent="0.25">
      <c r="A2" s="12" t="s">
        <v>176</v>
      </c>
    </row>
    <row r="3" spans="1:9" ht="15.75" x14ac:dyDescent="0.25">
      <c r="A3" s="12"/>
      <c r="B3" s="18" t="s">
        <v>177</v>
      </c>
    </row>
    <row r="4" spans="1:9" x14ac:dyDescent="0.25">
      <c r="A4" s="24" t="s">
        <v>148</v>
      </c>
    </row>
    <row r="5" spans="1:9" ht="45" x14ac:dyDescent="0.25">
      <c r="A5" s="3" t="s">
        <v>17</v>
      </c>
      <c r="B5" s="2" t="s">
        <v>18</v>
      </c>
      <c r="C5" s="64" t="s">
        <v>164</v>
      </c>
      <c r="D5" s="35" t="s">
        <v>163</v>
      </c>
      <c r="E5" s="41" t="s">
        <v>169</v>
      </c>
      <c r="F5" s="41" t="s">
        <v>20</v>
      </c>
    </row>
    <row r="6" spans="1:9" x14ac:dyDescent="0.25">
      <c r="A6" s="13"/>
      <c r="B6" s="14">
        <v>1</v>
      </c>
      <c r="C6" s="46">
        <v>2</v>
      </c>
      <c r="D6" s="46">
        <v>3</v>
      </c>
      <c r="E6" s="46">
        <v>4</v>
      </c>
      <c r="F6" s="36" t="s">
        <v>115</v>
      </c>
    </row>
    <row r="7" spans="1:9" ht="30" x14ac:dyDescent="0.25">
      <c r="A7" s="20">
        <v>67</v>
      </c>
      <c r="B7" s="15" t="s">
        <v>25</v>
      </c>
      <c r="C7" s="43">
        <v>266027</v>
      </c>
      <c r="D7" s="37">
        <v>260758.23</v>
      </c>
      <c r="E7" s="43">
        <v>253150.02</v>
      </c>
      <c r="F7" s="43">
        <f>E7/D7*100</f>
        <v>97.082274258419375</v>
      </c>
      <c r="I7" s="53"/>
    </row>
    <row r="8" spans="1:9" ht="30" x14ac:dyDescent="0.25">
      <c r="A8" s="13">
        <v>6711</v>
      </c>
      <c r="B8" s="6" t="s">
        <v>23</v>
      </c>
      <c r="C8" s="43">
        <v>266027</v>
      </c>
      <c r="D8" s="37">
        <v>260758.23</v>
      </c>
      <c r="E8" s="44">
        <v>253150</v>
      </c>
      <c r="F8" s="43">
        <f t="shared" ref="F8:F10" si="0">E8/D8*100</f>
        <v>97.0822665884793</v>
      </c>
      <c r="I8" s="53"/>
    </row>
    <row r="9" spans="1:9" ht="30" x14ac:dyDescent="0.25">
      <c r="A9" s="13">
        <v>6712</v>
      </c>
      <c r="B9" s="6" t="s">
        <v>24</v>
      </c>
      <c r="C9" s="43">
        <v>0</v>
      </c>
      <c r="D9" s="43"/>
      <c r="E9" s="43">
        <v>0</v>
      </c>
      <c r="F9" s="43"/>
      <c r="I9" s="53"/>
    </row>
    <row r="10" spans="1:9" s="18" customFormat="1" x14ac:dyDescent="0.25">
      <c r="A10" s="3"/>
      <c r="B10" s="48" t="s">
        <v>130</v>
      </c>
      <c r="C10" s="42">
        <f>SUM(C8:C9)</f>
        <v>266027</v>
      </c>
      <c r="D10" s="42">
        <f>SUM(D7)</f>
        <v>260758.23</v>
      </c>
      <c r="E10" s="42">
        <f>SUM(E7)</f>
        <v>253150.02</v>
      </c>
      <c r="F10" s="43">
        <f t="shared" si="0"/>
        <v>97.082274258419375</v>
      </c>
      <c r="I10" s="53"/>
    </row>
    <row r="11" spans="1:9" x14ac:dyDescent="0.25">
      <c r="A11" s="23" t="s">
        <v>149</v>
      </c>
      <c r="B11" s="22"/>
      <c r="C11" s="43"/>
      <c r="D11" s="43"/>
      <c r="E11" s="43"/>
      <c r="F11" s="43" t="s">
        <v>116</v>
      </c>
      <c r="I11" s="53"/>
    </row>
    <row r="12" spans="1:9" s="19" customFormat="1" x14ac:dyDescent="0.25">
      <c r="A12" s="49">
        <v>64</v>
      </c>
      <c r="B12" s="50" t="s">
        <v>114</v>
      </c>
      <c r="C12" s="51">
        <v>2</v>
      </c>
      <c r="D12" s="51"/>
      <c r="E12" s="51">
        <v>61.62</v>
      </c>
      <c r="F12" s="43" t="s">
        <v>116</v>
      </c>
      <c r="I12" s="53"/>
    </row>
    <row r="13" spans="1:9" x14ac:dyDescent="0.25">
      <c r="A13" s="13">
        <v>641</v>
      </c>
      <c r="B13" s="15" t="s">
        <v>104</v>
      </c>
      <c r="C13" s="43">
        <v>2</v>
      </c>
      <c r="D13" s="43"/>
      <c r="E13" s="43">
        <v>61.62</v>
      </c>
      <c r="F13" s="43" t="s">
        <v>116</v>
      </c>
      <c r="I13" s="53"/>
    </row>
    <row r="14" spans="1:9" ht="30" x14ac:dyDescent="0.25">
      <c r="A14" s="3">
        <v>66</v>
      </c>
      <c r="B14" s="8" t="s">
        <v>26</v>
      </c>
      <c r="C14" s="42">
        <f>SUM(C15:C16)</f>
        <v>23190</v>
      </c>
      <c r="D14" s="42">
        <f t="shared" ref="D14:E14" si="1">SUM(D15:D16)</f>
        <v>21427.489999999998</v>
      </c>
      <c r="E14" s="42">
        <f t="shared" si="1"/>
        <v>24995.97</v>
      </c>
      <c r="F14" s="43">
        <f t="shared" ref="F14:F16" si="2">E14/D14*100</f>
        <v>116.65374712577163</v>
      </c>
      <c r="I14" s="53"/>
    </row>
    <row r="15" spans="1:9" s="18" customFormat="1" x14ac:dyDescent="0.25">
      <c r="A15" s="3">
        <v>661</v>
      </c>
      <c r="B15" s="8" t="s">
        <v>27</v>
      </c>
      <c r="C15" s="42">
        <v>9961</v>
      </c>
      <c r="D15" s="42">
        <v>14427.49</v>
      </c>
      <c r="E15" s="42">
        <v>10059.120000000001</v>
      </c>
      <c r="F15" s="43">
        <f t="shared" si="2"/>
        <v>69.721898958169447</v>
      </c>
      <c r="I15" s="53"/>
    </row>
    <row r="16" spans="1:9" s="18" customFormat="1" x14ac:dyDescent="0.25">
      <c r="A16" s="3">
        <v>663</v>
      </c>
      <c r="B16" s="8" t="s">
        <v>80</v>
      </c>
      <c r="C16" s="42">
        <v>13229</v>
      </c>
      <c r="D16" s="42">
        <v>7000</v>
      </c>
      <c r="E16" s="42">
        <v>14936.85</v>
      </c>
      <c r="F16" s="43">
        <f t="shared" si="2"/>
        <v>213.38357142857146</v>
      </c>
      <c r="I16" s="53"/>
    </row>
    <row r="17" spans="1:9" s="18" customFormat="1" x14ac:dyDescent="0.25">
      <c r="A17" s="3">
        <v>72</v>
      </c>
      <c r="B17" s="8" t="s">
        <v>106</v>
      </c>
      <c r="C17" s="42">
        <v>0</v>
      </c>
      <c r="D17" s="42">
        <v>0</v>
      </c>
      <c r="E17" s="42">
        <v>0</v>
      </c>
      <c r="F17" s="43"/>
      <c r="I17" s="53"/>
    </row>
    <row r="18" spans="1:9" x14ac:dyDescent="0.25">
      <c r="A18" s="13">
        <v>721</v>
      </c>
      <c r="B18" s="15" t="s">
        <v>107</v>
      </c>
      <c r="C18" s="43">
        <v>0</v>
      </c>
      <c r="D18" s="43">
        <v>0</v>
      </c>
      <c r="E18" s="43">
        <v>0</v>
      </c>
      <c r="F18" s="43"/>
      <c r="I18" s="53"/>
    </row>
    <row r="19" spans="1:9" s="18" customFormat="1" x14ac:dyDescent="0.25">
      <c r="A19" s="3"/>
      <c r="B19" s="48" t="s">
        <v>90</v>
      </c>
      <c r="C19" s="42">
        <f>C14+C17</f>
        <v>23190</v>
      </c>
      <c r="D19" s="42">
        <f t="shared" ref="D19:E19" si="3">D14+D17</f>
        <v>21427.489999999998</v>
      </c>
      <c r="E19" s="42">
        <f t="shared" si="3"/>
        <v>24995.97</v>
      </c>
      <c r="F19" s="42">
        <f t="shared" ref="F19:F44" si="4">E19/C19*100</f>
        <v>107.78771021992239</v>
      </c>
      <c r="I19" s="53"/>
    </row>
    <row r="20" spans="1:9" x14ac:dyDescent="0.25">
      <c r="A20" s="23" t="s">
        <v>150</v>
      </c>
      <c r="B20" s="15"/>
      <c r="C20" s="43"/>
      <c r="D20" s="43"/>
      <c r="E20" s="43"/>
      <c r="F20" s="43" t="s">
        <v>116</v>
      </c>
      <c r="I20" s="53"/>
    </row>
    <row r="21" spans="1:9" x14ac:dyDescent="0.25">
      <c r="A21" s="3">
        <v>652</v>
      </c>
      <c r="B21" s="8" t="s">
        <v>28</v>
      </c>
      <c r="C21" s="42">
        <v>102910</v>
      </c>
      <c r="D21" s="43">
        <f>SUM(D22)</f>
        <v>72694.460000000006</v>
      </c>
      <c r="E21" s="43">
        <f>SUM(E22)</f>
        <v>82530.3</v>
      </c>
      <c r="F21" s="42">
        <f t="shared" si="4"/>
        <v>80.196579535516477</v>
      </c>
      <c r="I21" s="53"/>
    </row>
    <row r="22" spans="1:9" x14ac:dyDescent="0.25">
      <c r="A22" s="13">
        <v>6526</v>
      </c>
      <c r="B22" s="15" t="s">
        <v>29</v>
      </c>
      <c r="C22" s="43">
        <v>102910</v>
      </c>
      <c r="D22" s="43">
        <v>72694.460000000006</v>
      </c>
      <c r="E22" s="43">
        <v>82530.3</v>
      </c>
      <c r="F22" s="43">
        <f t="shared" si="4"/>
        <v>80.196579535516477</v>
      </c>
      <c r="I22" s="53"/>
    </row>
    <row r="23" spans="1:9" x14ac:dyDescent="0.25">
      <c r="A23" s="13"/>
      <c r="B23" s="22" t="s">
        <v>131</v>
      </c>
      <c r="C23" s="42">
        <v>102910</v>
      </c>
      <c r="D23" s="42">
        <v>72694.460000000006</v>
      </c>
      <c r="E23" s="42">
        <v>82530</v>
      </c>
      <c r="F23" s="43">
        <f t="shared" si="4"/>
        <v>80.196288018657086</v>
      </c>
      <c r="I23" s="53"/>
    </row>
    <row r="24" spans="1:9" x14ac:dyDescent="0.25">
      <c r="A24" s="23" t="s">
        <v>151</v>
      </c>
      <c r="B24" s="15"/>
      <c r="C24" s="43"/>
      <c r="D24" s="43"/>
      <c r="E24" s="43"/>
      <c r="F24" s="43" t="s">
        <v>116</v>
      </c>
      <c r="I24" s="53"/>
    </row>
    <row r="25" spans="1:9" ht="30" x14ac:dyDescent="0.25">
      <c r="A25" s="3">
        <v>63</v>
      </c>
      <c r="B25" s="8" t="s">
        <v>30</v>
      </c>
      <c r="C25" s="43">
        <f>SUM(C26:C30)</f>
        <v>1919064</v>
      </c>
      <c r="D25" s="43">
        <f t="shared" ref="D25:E25" si="5">SUM(D26:D30)</f>
        <v>2231184.17</v>
      </c>
      <c r="E25" s="43">
        <f t="shared" si="5"/>
        <v>2268094.42</v>
      </c>
      <c r="F25" s="43">
        <f t="shared" si="4"/>
        <v>118.18753413122229</v>
      </c>
      <c r="I25" s="53"/>
    </row>
    <row r="26" spans="1:9" ht="30" x14ac:dyDescent="0.25">
      <c r="A26" s="3">
        <v>633</v>
      </c>
      <c r="B26" s="8" t="s">
        <v>165</v>
      </c>
      <c r="C26" s="43">
        <v>4792</v>
      </c>
      <c r="D26" s="38">
        <f>9904.98+6940.7</f>
        <v>16845.68</v>
      </c>
      <c r="E26" s="43">
        <v>9842.4</v>
      </c>
      <c r="F26" s="43">
        <f t="shared" si="4"/>
        <v>205.39232053422373</v>
      </c>
      <c r="I26" s="53"/>
    </row>
    <row r="27" spans="1:9" x14ac:dyDescent="0.25">
      <c r="A27" s="13">
        <v>634</v>
      </c>
      <c r="B27" s="15" t="s">
        <v>31</v>
      </c>
      <c r="C27" s="43">
        <v>0</v>
      </c>
      <c r="D27" s="43"/>
      <c r="E27" s="43">
        <v>0</v>
      </c>
      <c r="F27" s="43" t="s">
        <v>116</v>
      </c>
      <c r="I27" s="53"/>
    </row>
    <row r="28" spans="1:9" ht="30" x14ac:dyDescent="0.25">
      <c r="A28" s="13">
        <v>636</v>
      </c>
      <c r="B28" s="15" t="s">
        <v>32</v>
      </c>
      <c r="C28" s="43">
        <v>1769011</v>
      </c>
      <c r="D28" s="37">
        <v>2005315.7</v>
      </c>
      <c r="E28" s="43">
        <v>2051000.54</v>
      </c>
      <c r="F28" s="43">
        <f t="shared" si="4"/>
        <v>115.94051930711566</v>
      </c>
      <c r="I28" s="53"/>
    </row>
    <row r="29" spans="1:9" x14ac:dyDescent="0.25">
      <c r="A29" s="13">
        <v>638</v>
      </c>
      <c r="B29" s="15" t="s">
        <v>33</v>
      </c>
      <c r="C29" s="43">
        <v>135372</v>
      </c>
      <c r="D29" s="37">
        <f>150000+55814.37+3208.42</f>
        <v>209022.79</v>
      </c>
      <c r="E29" s="43">
        <v>200918.28</v>
      </c>
      <c r="F29" s="43">
        <f t="shared" si="4"/>
        <v>148.41937771474161</v>
      </c>
      <c r="I29" s="53"/>
    </row>
    <row r="30" spans="1:9" x14ac:dyDescent="0.25">
      <c r="A30" s="13">
        <v>639</v>
      </c>
      <c r="B30" s="15" t="s">
        <v>135</v>
      </c>
      <c r="C30" s="43">
        <v>9889</v>
      </c>
      <c r="D30" s="37" t="s">
        <v>116</v>
      </c>
      <c r="E30" s="43">
        <v>6333.2</v>
      </c>
      <c r="F30" s="43">
        <f t="shared" si="4"/>
        <v>64.042875922742439</v>
      </c>
      <c r="I30" s="53"/>
    </row>
    <row r="31" spans="1:9" s="18" customFormat="1" x14ac:dyDescent="0.25">
      <c r="A31" s="3"/>
      <c r="B31" s="48" t="s">
        <v>132</v>
      </c>
      <c r="C31" s="42">
        <f>SUM(C26:C30)</f>
        <v>1919064</v>
      </c>
      <c r="D31" s="42">
        <f>SUM(D26:D30)</f>
        <v>2231184.17</v>
      </c>
      <c r="E31" s="42">
        <f>SUM(E26:E30)+E13</f>
        <v>2268156.04</v>
      </c>
      <c r="F31" s="42">
        <f t="shared" si="4"/>
        <v>118.19074507155571</v>
      </c>
      <c r="I31" s="63"/>
    </row>
    <row r="32" spans="1:9" x14ac:dyDescent="0.25">
      <c r="A32" s="13"/>
      <c r="B32" s="15"/>
      <c r="C32" s="43"/>
      <c r="D32" s="43"/>
      <c r="E32" s="43"/>
      <c r="F32" s="43" t="s">
        <v>116</v>
      </c>
      <c r="I32" s="53"/>
    </row>
    <row r="33" spans="1:9" ht="15.75" x14ac:dyDescent="0.25">
      <c r="A33" s="16" t="s">
        <v>35</v>
      </c>
      <c r="B33" s="5"/>
      <c r="C33" s="43">
        <f>C31+C23+C19+C7+3</f>
        <v>2311194</v>
      </c>
      <c r="D33" s="43">
        <f>D31+D23+D19+D7</f>
        <v>2586064.35</v>
      </c>
      <c r="E33" s="43">
        <f>E31+E23+E19+E7</f>
        <v>2628832.0300000003</v>
      </c>
      <c r="F33" s="43">
        <f t="shared" si="4"/>
        <v>113.74346030666402</v>
      </c>
      <c r="I33" s="53"/>
    </row>
    <row r="34" spans="1:9" ht="15.75" x14ac:dyDescent="0.25">
      <c r="A34" s="25"/>
      <c r="B34" s="26"/>
      <c r="C34" s="47"/>
      <c r="D34" s="47"/>
      <c r="E34" s="47"/>
      <c r="F34" s="47" t="s">
        <v>116</v>
      </c>
      <c r="I34" s="53"/>
    </row>
    <row r="35" spans="1:9" x14ac:dyDescent="0.25">
      <c r="F35" s="47"/>
      <c r="I35" s="53"/>
    </row>
    <row r="36" spans="1:9" x14ac:dyDescent="0.25">
      <c r="A36" s="24" t="s">
        <v>111</v>
      </c>
      <c r="F36" s="58" t="s">
        <v>116</v>
      </c>
      <c r="I36" s="53"/>
    </row>
    <row r="37" spans="1:9" ht="45" x14ac:dyDescent="0.25">
      <c r="A37" s="3" t="s">
        <v>17</v>
      </c>
      <c r="B37" s="2" t="s">
        <v>18</v>
      </c>
      <c r="C37" s="64" t="s">
        <v>164</v>
      </c>
      <c r="D37" s="35" t="s">
        <v>163</v>
      </c>
      <c r="E37" s="41" t="s">
        <v>169</v>
      </c>
      <c r="F37" s="57" t="s">
        <v>20</v>
      </c>
      <c r="I37" s="53"/>
    </row>
    <row r="38" spans="1:9" x14ac:dyDescent="0.25">
      <c r="A38" s="13"/>
      <c r="B38" s="14">
        <v>1</v>
      </c>
      <c r="C38" s="46">
        <v>2</v>
      </c>
      <c r="D38" s="46">
        <v>3</v>
      </c>
      <c r="E38" s="46">
        <v>4</v>
      </c>
      <c r="F38" s="36" t="s">
        <v>115</v>
      </c>
      <c r="I38" s="53"/>
    </row>
    <row r="39" spans="1:9" x14ac:dyDescent="0.25">
      <c r="A39" s="13" t="s">
        <v>92</v>
      </c>
      <c r="B39" s="5"/>
      <c r="C39" s="43">
        <v>22254</v>
      </c>
      <c r="D39" s="43">
        <v>21289.42</v>
      </c>
      <c r="E39" s="43">
        <v>21289</v>
      </c>
      <c r="F39" s="43">
        <f t="shared" si="4"/>
        <v>95.663700907701994</v>
      </c>
      <c r="I39" s="53"/>
    </row>
    <row r="40" spans="1:9" x14ac:dyDescent="0.25">
      <c r="A40" s="17" t="s">
        <v>93</v>
      </c>
      <c r="B40" s="5"/>
      <c r="C40" s="43">
        <v>22254</v>
      </c>
      <c r="D40" s="43">
        <v>21289</v>
      </c>
      <c r="E40" s="43">
        <v>0</v>
      </c>
      <c r="F40" s="43">
        <f t="shared" si="4"/>
        <v>0</v>
      </c>
      <c r="I40" s="53"/>
    </row>
    <row r="41" spans="1:9" x14ac:dyDescent="0.25">
      <c r="A41" s="17" t="s">
        <v>94</v>
      </c>
      <c r="B41" s="5"/>
      <c r="C41" s="42">
        <v>22254</v>
      </c>
      <c r="D41" s="42">
        <v>21289.4</v>
      </c>
      <c r="E41" s="42">
        <f>SUM(E39:E40)</f>
        <v>21289</v>
      </c>
      <c r="F41" s="43">
        <f t="shared" si="4"/>
        <v>95.663700907701994</v>
      </c>
      <c r="I41" s="53"/>
    </row>
    <row r="42" spans="1:9" x14ac:dyDescent="0.25">
      <c r="F42" s="43" t="s">
        <v>116</v>
      </c>
      <c r="I42" s="53"/>
    </row>
    <row r="43" spans="1:9" x14ac:dyDescent="0.25">
      <c r="A43" s="13"/>
      <c r="B43" s="5" t="s">
        <v>95</v>
      </c>
      <c r="C43" s="43">
        <v>2311194</v>
      </c>
      <c r="D43" s="43">
        <f>2607353.77-21289.42</f>
        <v>2586064.35</v>
      </c>
      <c r="E43" s="43">
        <f>E33</f>
        <v>2628832.0300000003</v>
      </c>
      <c r="F43" s="43">
        <f t="shared" si="4"/>
        <v>113.74346030666402</v>
      </c>
      <c r="I43" s="53"/>
    </row>
    <row r="44" spans="1:9" x14ac:dyDescent="0.25">
      <c r="A44" s="13"/>
      <c r="B44" s="5" t="s">
        <v>96</v>
      </c>
      <c r="C44" s="42">
        <v>2333718</v>
      </c>
      <c r="D44" s="42">
        <f>SUM(D41:D43)</f>
        <v>2607353.75</v>
      </c>
      <c r="E44" s="42">
        <f>SUM(E41:E43)</f>
        <v>2650121.0300000003</v>
      </c>
      <c r="F44" s="43">
        <f t="shared" si="4"/>
        <v>113.55789474135265</v>
      </c>
      <c r="I44" s="53"/>
    </row>
    <row r="45" spans="1:9" x14ac:dyDescent="0.25">
      <c r="I45" s="53"/>
    </row>
    <row r="46" spans="1:9" x14ac:dyDescent="0.25">
      <c r="I46" s="53"/>
    </row>
    <row r="47" spans="1:9" x14ac:dyDescent="0.25">
      <c r="I47" s="53"/>
    </row>
    <row r="48" spans="1:9" x14ac:dyDescent="0.25">
      <c r="I48" s="53"/>
    </row>
    <row r="49" spans="9:9" x14ac:dyDescent="0.25">
      <c r="I49" s="53"/>
    </row>
    <row r="50" spans="9:9" x14ac:dyDescent="0.25">
      <c r="I50" s="53"/>
    </row>
    <row r="51" spans="9:9" x14ac:dyDescent="0.25">
      <c r="I51" s="53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5"/>
  <sheetViews>
    <sheetView tabSelected="1" topLeftCell="A16" workbookViewId="0">
      <selection activeCell="H140" sqref="H140"/>
    </sheetView>
  </sheetViews>
  <sheetFormatPr defaultRowHeight="15" x14ac:dyDescent="0.25"/>
  <cols>
    <col min="1" max="1" width="10.85546875" style="10" customWidth="1"/>
    <col min="2" max="2" width="50.7109375" customWidth="1"/>
    <col min="3" max="3" width="14.5703125" style="44" customWidth="1"/>
    <col min="4" max="4" width="14.28515625" style="44" customWidth="1"/>
    <col min="5" max="5" width="16.85546875" style="44" customWidth="1"/>
    <col min="6" max="6" width="14.140625" style="44" customWidth="1"/>
    <col min="7" max="7" width="9.140625" customWidth="1"/>
    <col min="8" max="8" width="13.28515625" customWidth="1"/>
    <col min="9" max="9" width="18.85546875" customWidth="1"/>
    <col min="10" max="10" width="15.28515625" customWidth="1"/>
    <col min="11" max="11" width="13.28515625" customWidth="1"/>
    <col min="12" max="15" width="9.140625" customWidth="1"/>
  </cols>
  <sheetData>
    <row r="1" spans="1:10" x14ac:dyDescent="0.25">
      <c r="B1" s="18" t="s">
        <v>158</v>
      </c>
    </row>
    <row r="2" spans="1:10" ht="15.75" x14ac:dyDescent="0.25">
      <c r="A2" s="11"/>
      <c r="B2" s="18" t="s">
        <v>118</v>
      </c>
      <c r="C2" s="44" t="s">
        <v>167</v>
      </c>
    </row>
    <row r="4" spans="1:10" x14ac:dyDescent="0.25">
      <c r="A4" s="24" t="s">
        <v>143</v>
      </c>
    </row>
    <row r="5" spans="1:10" ht="30" x14ac:dyDescent="0.25">
      <c r="A5" s="3" t="s">
        <v>159</v>
      </c>
      <c r="B5" s="2" t="s">
        <v>18</v>
      </c>
      <c r="C5" s="64" t="s">
        <v>164</v>
      </c>
      <c r="D5" s="35" t="s">
        <v>163</v>
      </c>
      <c r="E5" s="41" t="s">
        <v>169</v>
      </c>
      <c r="F5" s="41" t="s">
        <v>20</v>
      </c>
    </row>
    <row r="6" spans="1:10" ht="15.75" x14ac:dyDescent="0.25">
      <c r="A6" s="3"/>
      <c r="B6" s="2">
        <v>1</v>
      </c>
      <c r="C6" s="45">
        <v>2</v>
      </c>
      <c r="D6" s="45">
        <v>3</v>
      </c>
      <c r="E6" s="45">
        <v>4</v>
      </c>
      <c r="F6" s="41" t="s">
        <v>140</v>
      </c>
    </row>
    <row r="7" spans="1:10" x14ac:dyDescent="0.25">
      <c r="A7" s="3">
        <v>31</v>
      </c>
      <c r="B7" s="7" t="s">
        <v>36</v>
      </c>
      <c r="C7" s="42">
        <f>C9+C11+C13</f>
        <v>82909</v>
      </c>
      <c r="D7" s="42">
        <f>D9+D11+D13</f>
        <v>80807.78</v>
      </c>
      <c r="E7" s="42">
        <f>E9+E11+E13</f>
        <v>92373.09</v>
      </c>
      <c r="F7" s="42">
        <f>E7/D7*100</f>
        <v>114.31212440188307</v>
      </c>
      <c r="I7" s="53"/>
      <c r="J7" s="53"/>
    </row>
    <row r="8" spans="1:10" x14ac:dyDescent="0.25">
      <c r="A8" s="3">
        <v>311</v>
      </c>
      <c r="B8" s="7" t="s">
        <v>37</v>
      </c>
      <c r="C8" s="42">
        <f>C9</f>
        <v>69869</v>
      </c>
      <c r="D8" s="42">
        <f t="shared" ref="D8:E8" si="0">D9</f>
        <v>74960.69</v>
      </c>
      <c r="E8" s="42">
        <f t="shared" si="0"/>
        <v>72618.5</v>
      </c>
      <c r="F8" s="42">
        <f t="shared" ref="F8:F70" si="1">E8/D8*100</f>
        <v>96.875442315165444</v>
      </c>
      <c r="I8" s="53"/>
    </row>
    <row r="9" spans="1:10" x14ac:dyDescent="0.25">
      <c r="A9" s="13">
        <v>3111</v>
      </c>
      <c r="B9" s="5" t="s">
        <v>38</v>
      </c>
      <c r="C9" s="43">
        <v>69869</v>
      </c>
      <c r="D9" s="43">
        <f>70000+3801.24+2316.31+2549.14-3076-630</f>
        <v>74960.69</v>
      </c>
      <c r="E9" s="43">
        <f>6481.1+2316.31+63821.09</f>
        <v>72618.5</v>
      </c>
      <c r="F9" s="42">
        <f t="shared" si="1"/>
        <v>96.875442315165444</v>
      </c>
      <c r="I9" s="53"/>
    </row>
    <row r="10" spans="1:10" x14ac:dyDescent="0.25">
      <c r="A10" s="3">
        <v>312</v>
      </c>
      <c r="B10" s="7" t="s">
        <v>39</v>
      </c>
      <c r="C10" s="42">
        <f>C11</f>
        <v>1679</v>
      </c>
      <c r="D10" s="42">
        <f t="shared" ref="D10:E10" si="2">D11</f>
        <v>4417.08</v>
      </c>
      <c r="E10" s="42">
        <f t="shared" si="2"/>
        <v>9822.98</v>
      </c>
      <c r="F10" s="42">
        <f t="shared" si="1"/>
        <v>222.38628234036963</v>
      </c>
      <c r="I10" s="53"/>
    </row>
    <row r="11" spans="1:10" x14ac:dyDescent="0.25">
      <c r="A11" s="13">
        <v>3121</v>
      </c>
      <c r="B11" s="5" t="s">
        <v>39</v>
      </c>
      <c r="C11" s="43">
        <v>1679</v>
      </c>
      <c r="D11" s="43">
        <f>450+3517.08+450</f>
        <v>4417.08</v>
      </c>
      <c r="E11" s="43">
        <f>1005+4114.4+4703.58</f>
        <v>9822.98</v>
      </c>
      <c r="F11" s="42">
        <f t="shared" si="1"/>
        <v>222.38628234036963</v>
      </c>
      <c r="I11" s="53"/>
    </row>
    <row r="12" spans="1:10" s="18" customFormat="1" x14ac:dyDescent="0.25">
      <c r="A12" s="3">
        <v>313</v>
      </c>
      <c r="B12" s="7" t="s">
        <v>40</v>
      </c>
      <c r="C12" s="42">
        <f>C13</f>
        <v>11361</v>
      </c>
      <c r="D12" s="42">
        <f>D13</f>
        <v>1430.01</v>
      </c>
      <c r="E12" s="42">
        <f>E13</f>
        <v>9931.61</v>
      </c>
      <c r="F12" s="42">
        <f t="shared" si="1"/>
        <v>694.51332508164285</v>
      </c>
      <c r="I12" s="53"/>
    </row>
    <row r="13" spans="1:10" x14ac:dyDescent="0.25">
      <c r="A13" s="13">
        <v>3132</v>
      </c>
      <c r="B13" s="6" t="s">
        <v>41</v>
      </c>
      <c r="C13" s="43">
        <v>11361</v>
      </c>
      <c r="D13" s="43">
        <f>420.61+382.19+627.21</f>
        <v>1430.01</v>
      </c>
      <c r="E13" s="43">
        <f>1069.39+8480.03+382.19</f>
        <v>9931.61</v>
      </c>
      <c r="F13" s="42">
        <f t="shared" si="1"/>
        <v>694.51332508164285</v>
      </c>
      <c r="I13" s="53"/>
    </row>
    <row r="14" spans="1:10" ht="26.25" customHeight="1" x14ac:dyDescent="0.25">
      <c r="A14" s="13">
        <v>3133</v>
      </c>
      <c r="B14" s="6" t="s">
        <v>42</v>
      </c>
      <c r="C14" s="43"/>
      <c r="D14" s="43"/>
      <c r="E14" s="43"/>
      <c r="F14" s="42" t="s">
        <v>116</v>
      </c>
      <c r="I14" s="53"/>
    </row>
    <row r="15" spans="1:10" ht="21" customHeight="1" x14ac:dyDescent="0.25">
      <c r="A15" s="3">
        <v>32</v>
      </c>
      <c r="B15" s="7" t="s">
        <v>97</v>
      </c>
      <c r="C15" s="42">
        <f>C16+C21+C28+C38+C40</f>
        <v>158389</v>
      </c>
      <c r="D15" s="42">
        <f t="shared" ref="D15:E15" si="3">D16+D21+D28+D38+D40</f>
        <v>137550.9</v>
      </c>
      <c r="E15" s="42">
        <f t="shared" si="3"/>
        <v>124580.98</v>
      </c>
      <c r="F15" s="42">
        <f t="shared" si="1"/>
        <v>90.570821419561781</v>
      </c>
      <c r="H15" s="53"/>
      <c r="I15" s="53"/>
    </row>
    <row r="16" spans="1:10" x14ac:dyDescent="0.25">
      <c r="A16" s="3">
        <v>321</v>
      </c>
      <c r="B16" s="7" t="s">
        <v>43</v>
      </c>
      <c r="C16" s="42">
        <f>SUM(C17:C20)</f>
        <v>4906</v>
      </c>
      <c r="D16" s="42">
        <f>SUM(D17:D20)</f>
        <v>7770.1399999999994</v>
      </c>
      <c r="E16" s="42">
        <f>SUM(E17:E20)</f>
        <v>8293.67</v>
      </c>
      <c r="F16" s="42">
        <f t="shared" si="1"/>
        <v>106.73771643754168</v>
      </c>
      <c r="I16" s="53"/>
    </row>
    <row r="17" spans="1:11" x14ac:dyDescent="0.25">
      <c r="A17" s="13">
        <v>3211</v>
      </c>
      <c r="B17" s="5" t="s">
        <v>44</v>
      </c>
      <c r="C17" s="43">
        <v>2769</v>
      </c>
      <c r="D17" s="43">
        <f>12+11.94+5000</f>
        <v>5023.9399999999996</v>
      </c>
      <c r="E17" s="43">
        <f>11.95+58.61+5201.11</f>
        <v>5271.67</v>
      </c>
      <c r="F17" s="42">
        <f t="shared" si="1"/>
        <v>104.93099041787922</v>
      </c>
      <c r="H17" s="53"/>
      <c r="I17" s="53"/>
    </row>
    <row r="18" spans="1:11" x14ac:dyDescent="0.25">
      <c r="A18" s="13">
        <v>3212</v>
      </c>
      <c r="B18" s="6" t="s">
        <v>45</v>
      </c>
      <c r="C18" s="43">
        <v>306</v>
      </c>
      <c r="D18" s="43">
        <f>266.2+180</f>
        <v>446.2</v>
      </c>
      <c r="E18" s="43">
        <f>426.2</f>
        <v>426.2</v>
      </c>
      <c r="F18" s="42">
        <f t="shared" si="1"/>
        <v>95.51770506499328</v>
      </c>
      <c r="I18" s="53"/>
    </row>
    <row r="19" spans="1:11" x14ac:dyDescent="0.25">
      <c r="A19" s="13">
        <v>3213</v>
      </c>
      <c r="B19" s="6" t="s">
        <v>48</v>
      </c>
      <c r="C19" s="43">
        <v>492</v>
      </c>
      <c r="D19" s="43">
        <v>800</v>
      </c>
      <c r="E19" s="43">
        <f>815</f>
        <v>815</v>
      </c>
      <c r="F19" s="42">
        <f t="shared" si="1"/>
        <v>101.875</v>
      </c>
      <c r="I19" s="53"/>
    </row>
    <row r="20" spans="1:11" x14ac:dyDescent="0.25">
      <c r="A20" s="13">
        <v>3214</v>
      </c>
      <c r="B20" s="6" t="s">
        <v>49</v>
      </c>
      <c r="C20" s="43">
        <v>1339</v>
      </c>
      <c r="D20" s="43">
        <v>1500</v>
      </c>
      <c r="E20" s="43">
        <v>1780.8</v>
      </c>
      <c r="F20" s="42">
        <f t="shared" si="1"/>
        <v>118.72</v>
      </c>
      <c r="I20" s="53"/>
    </row>
    <row r="21" spans="1:11" x14ac:dyDescent="0.25">
      <c r="A21" s="3">
        <v>322</v>
      </c>
      <c r="B21" s="7" t="s">
        <v>46</v>
      </c>
      <c r="C21" s="42">
        <f>SUM(C22:C27)</f>
        <v>119640</v>
      </c>
      <c r="D21" s="42">
        <f>SUM(D22:D27)</f>
        <v>82857.440000000002</v>
      </c>
      <c r="E21" s="42">
        <f>SUM(E22:E27)</f>
        <v>73863.33</v>
      </c>
      <c r="F21" s="42">
        <f t="shared" si="1"/>
        <v>89.145078583166466</v>
      </c>
      <c r="I21" s="53"/>
      <c r="K21" s="53"/>
    </row>
    <row r="22" spans="1:11" x14ac:dyDescent="0.25">
      <c r="A22" s="13">
        <v>3221</v>
      </c>
      <c r="B22" s="21" t="s">
        <v>47</v>
      </c>
      <c r="C22" s="43">
        <v>23244</v>
      </c>
      <c r="D22" s="43">
        <v>24000</v>
      </c>
      <c r="E22" s="43">
        <v>22325.26</v>
      </c>
      <c r="F22" s="42">
        <f t="shared" si="1"/>
        <v>93.021916666666655</v>
      </c>
      <c r="I22" s="53"/>
    </row>
    <row r="23" spans="1:11" x14ac:dyDescent="0.25">
      <c r="A23" s="13">
        <v>3222</v>
      </c>
      <c r="B23" s="6" t="s">
        <v>50</v>
      </c>
      <c r="C23" s="43">
        <v>26192</v>
      </c>
      <c r="D23" s="43">
        <v>1000</v>
      </c>
      <c r="E23" s="43">
        <v>1047.6500000000001</v>
      </c>
      <c r="F23" s="42">
        <f t="shared" si="1"/>
        <v>104.76500000000001</v>
      </c>
      <c r="I23" s="53"/>
    </row>
    <row r="24" spans="1:11" x14ac:dyDescent="0.25">
      <c r="A24" s="13">
        <v>3223</v>
      </c>
      <c r="B24" s="6" t="s">
        <v>51</v>
      </c>
      <c r="C24" s="43">
        <v>66280</v>
      </c>
      <c r="D24" s="43">
        <f>40000+8527.44</f>
        <v>48527.44</v>
      </c>
      <c r="E24" s="43">
        <v>40144.839999999997</v>
      </c>
      <c r="F24" s="42">
        <f t="shared" si="1"/>
        <v>82.726061791019674</v>
      </c>
      <c r="I24" s="53"/>
    </row>
    <row r="25" spans="1:11" x14ac:dyDescent="0.25">
      <c r="A25" s="13">
        <v>3224</v>
      </c>
      <c r="B25" s="6" t="s">
        <v>52</v>
      </c>
      <c r="C25" s="43">
        <v>1620</v>
      </c>
      <c r="D25" s="43">
        <v>2000</v>
      </c>
      <c r="E25" s="43">
        <v>4054.1</v>
      </c>
      <c r="F25" s="42">
        <f t="shared" si="1"/>
        <v>202.70500000000001</v>
      </c>
      <c r="I25" s="53"/>
    </row>
    <row r="26" spans="1:11" x14ac:dyDescent="0.25">
      <c r="A26" s="13">
        <v>3225</v>
      </c>
      <c r="B26" s="6" t="s">
        <v>53</v>
      </c>
      <c r="C26" s="43">
        <v>1005</v>
      </c>
      <c r="D26" s="43">
        <v>6000</v>
      </c>
      <c r="E26" s="43">
        <v>5030</v>
      </c>
      <c r="F26" s="42">
        <f t="shared" si="1"/>
        <v>83.833333333333343</v>
      </c>
      <c r="I26" s="53"/>
    </row>
    <row r="27" spans="1:11" x14ac:dyDescent="0.25">
      <c r="A27" s="13">
        <v>3227</v>
      </c>
      <c r="B27" s="6" t="s">
        <v>54</v>
      </c>
      <c r="C27" s="43">
        <v>1299</v>
      </c>
      <c r="D27" s="43">
        <v>1330</v>
      </c>
      <c r="E27" s="43">
        <v>1261.48</v>
      </c>
      <c r="F27" s="42">
        <f t="shared" si="1"/>
        <v>94.848120300751887</v>
      </c>
      <c r="I27" s="53"/>
    </row>
    <row r="28" spans="1:11" s="18" customFormat="1" x14ac:dyDescent="0.25">
      <c r="A28" s="3">
        <v>323</v>
      </c>
      <c r="B28" s="8" t="s">
        <v>55</v>
      </c>
      <c r="C28" s="42">
        <f>SUM(C29:C37)</f>
        <v>32895</v>
      </c>
      <c r="D28" s="42">
        <f>SUM(D29:D37)</f>
        <v>43447.47</v>
      </c>
      <c r="E28" s="42">
        <f>SUM(E29:E37)</f>
        <v>41006.61</v>
      </c>
      <c r="F28" s="42">
        <f t="shared" si="1"/>
        <v>94.382043419329136</v>
      </c>
      <c r="I28" s="53"/>
    </row>
    <row r="29" spans="1:11" x14ac:dyDescent="0.25">
      <c r="A29" s="13">
        <v>3231</v>
      </c>
      <c r="B29" s="6" t="s">
        <v>56</v>
      </c>
      <c r="C29" s="43">
        <v>5233</v>
      </c>
      <c r="D29" s="43">
        <v>4500</v>
      </c>
      <c r="E29" s="43">
        <v>4262.55</v>
      </c>
      <c r="F29" s="42">
        <f t="shared" si="1"/>
        <v>94.723333333333343</v>
      </c>
      <c r="I29" s="53"/>
    </row>
    <row r="30" spans="1:11" x14ac:dyDescent="0.25">
      <c r="A30" s="13">
        <v>3232</v>
      </c>
      <c r="B30" s="6" t="s">
        <v>57</v>
      </c>
      <c r="C30" s="43">
        <v>3161</v>
      </c>
      <c r="D30" s="43">
        <v>9000</v>
      </c>
      <c r="E30" s="43">
        <v>9830.67</v>
      </c>
      <c r="F30" s="42">
        <f t="shared" si="1"/>
        <v>109.22966666666667</v>
      </c>
      <c r="H30" s="26"/>
      <c r="I30" s="53"/>
    </row>
    <row r="31" spans="1:11" x14ac:dyDescent="0.25">
      <c r="A31" s="13">
        <v>3233</v>
      </c>
      <c r="B31" s="6" t="s">
        <v>58</v>
      </c>
      <c r="C31" s="43">
        <v>94</v>
      </c>
      <c r="D31" s="43">
        <v>50</v>
      </c>
      <c r="E31" s="43">
        <v>58.1</v>
      </c>
      <c r="F31" s="42">
        <f t="shared" si="1"/>
        <v>116.19999999999999</v>
      </c>
      <c r="H31" s="59"/>
      <c r="I31" s="53"/>
    </row>
    <row r="32" spans="1:11" x14ac:dyDescent="0.25">
      <c r="A32" s="13">
        <v>3234</v>
      </c>
      <c r="B32" s="6" t="s">
        <v>59</v>
      </c>
      <c r="C32" s="43">
        <v>6983</v>
      </c>
      <c r="D32" s="43">
        <v>6500</v>
      </c>
      <c r="E32" s="43">
        <v>7383.31</v>
      </c>
      <c r="F32" s="42">
        <f t="shared" si="1"/>
        <v>113.58938461538462</v>
      </c>
      <c r="H32" s="47"/>
      <c r="I32" s="53"/>
    </row>
    <row r="33" spans="1:9" x14ac:dyDescent="0.25">
      <c r="A33" s="13">
        <v>3235</v>
      </c>
      <c r="B33" s="6" t="s">
        <v>60</v>
      </c>
      <c r="C33" s="43">
        <v>2065</v>
      </c>
      <c r="D33" s="43">
        <v>3400</v>
      </c>
      <c r="E33" s="43">
        <v>3521.33</v>
      </c>
      <c r="F33" s="42">
        <f t="shared" si="1"/>
        <v>103.56852941176471</v>
      </c>
      <c r="H33" s="59"/>
      <c r="I33" s="53"/>
    </row>
    <row r="34" spans="1:9" x14ac:dyDescent="0.25">
      <c r="A34" s="13">
        <v>3236</v>
      </c>
      <c r="B34" s="6" t="s">
        <v>61</v>
      </c>
      <c r="C34" s="43">
        <v>6075</v>
      </c>
      <c r="D34" s="43">
        <v>6000</v>
      </c>
      <c r="E34" s="43">
        <v>6032.97</v>
      </c>
      <c r="F34" s="42">
        <f t="shared" si="1"/>
        <v>100.54950000000001</v>
      </c>
      <c r="H34" s="26"/>
      <c r="I34" s="53"/>
    </row>
    <row r="35" spans="1:9" x14ac:dyDescent="0.25">
      <c r="A35" s="13">
        <v>3237</v>
      </c>
      <c r="B35" s="6" t="s">
        <v>62</v>
      </c>
      <c r="C35" s="43">
        <v>2943</v>
      </c>
      <c r="D35" s="43">
        <f>2655+1850</f>
        <v>4505</v>
      </c>
      <c r="E35" s="43">
        <v>1553.75</v>
      </c>
      <c r="F35" s="42">
        <f t="shared" si="1"/>
        <v>34.489456159822417</v>
      </c>
      <c r="H35" s="26"/>
      <c r="I35" s="53"/>
    </row>
    <row r="36" spans="1:9" x14ac:dyDescent="0.25">
      <c r="A36" s="13">
        <v>3238</v>
      </c>
      <c r="B36" s="6" t="s">
        <v>63</v>
      </c>
      <c r="C36" s="43">
        <v>5309</v>
      </c>
      <c r="D36" s="43">
        <f>6000+1992.47</f>
        <v>7992.47</v>
      </c>
      <c r="E36" s="43">
        <v>7270.71</v>
      </c>
      <c r="F36" s="42">
        <f t="shared" si="1"/>
        <v>90.969500041914458</v>
      </c>
      <c r="I36" s="53"/>
    </row>
    <row r="37" spans="1:9" x14ac:dyDescent="0.25">
      <c r="A37" s="13">
        <v>3239</v>
      </c>
      <c r="B37" s="6" t="s">
        <v>64</v>
      </c>
      <c r="C37" s="43">
        <v>1032</v>
      </c>
      <c r="D37" s="43">
        <v>1500</v>
      </c>
      <c r="E37" s="43">
        <v>1093.22</v>
      </c>
      <c r="F37" s="42">
        <f t="shared" si="1"/>
        <v>72.88133333333333</v>
      </c>
      <c r="I37" s="53"/>
    </row>
    <row r="38" spans="1:9" x14ac:dyDescent="0.25">
      <c r="A38" s="3">
        <v>324</v>
      </c>
      <c r="B38" s="8" t="s">
        <v>65</v>
      </c>
      <c r="C38" s="42">
        <v>0</v>
      </c>
      <c r="D38" s="42">
        <v>0</v>
      </c>
      <c r="E38" s="42">
        <v>0</v>
      </c>
      <c r="F38" s="42"/>
      <c r="I38" s="53"/>
    </row>
    <row r="39" spans="1:9" x14ac:dyDescent="0.25">
      <c r="A39" s="13">
        <v>3241</v>
      </c>
      <c r="B39" s="6" t="s">
        <v>65</v>
      </c>
      <c r="C39" s="43"/>
      <c r="D39" s="43"/>
      <c r="E39" s="43"/>
      <c r="F39" s="42"/>
      <c r="I39" s="53"/>
    </row>
    <row r="40" spans="1:9" s="18" customFormat="1" x14ac:dyDescent="0.25">
      <c r="A40" s="3">
        <v>329</v>
      </c>
      <c r="B40" s="8" t="s">
        <v>66</v>
      </c>
      <c r="C40" s="42">
        <f>SUM(C43:C47)</f>
        <v>948</v>
      </c>
      <c r="D40" s="42">
        <f>SUM(D43:D47)</f>
        <v>3475.85</v>
      </c>
      <c r="E40" s="42">
        <f>SUM(E43:E47)</f>
        <v>1417.3700000000001</v>
      </c>
      <c r="F40" s="42">
        <f t="shared" si="1"/>
        <v>40.777651509702665</v>
      </c>
      <c r="I40" s="53"/>
    </row>
    <row r="41" spans="1:9" x14ac:dyDescent="0.25">
      <c r="A41" s="13">
        <v>3291</v>
      </c>
      <c r="B41" s="6" t="s">
        <v>67</v>
      </c>
      <c r="C41" s="43"/>
      <c r="D41" s="43"/>
      <c r="E41" s="43"/>
      <c r="F41" s="42"/>
      <c r="I41" s="53"/>
    </row>
    <row r="42" spans="1:9" x14ac:dyDescent="0.25">
      <c r="A42" s="13">
        <v>3292</v>
      </c>
      <c r="B42" s="6" t="s">
        <v>68</v>
      </c>
      <c r="C42" s="43"/>
      <c r="D42" s="43"/>
      <c r="E42" s="43"/>
      <c r="F42" s="42"/>
      <c r="I42" s="53"/>
    </row>
    <row r="43" spans="1:9" x14ac:dyDescent="0.25">
      <c r="A43" s="13">
        <v>3293</v>
      </c>
      <c r="B43" s="6" t="s">
        <v>69</v>
      </c>
      <c r="C43" s="43">
        <v>85</v>
      </c>
      <c r="D43" s="43">
        <v>80</v>
      </c>
      <c r="E43" s="43">
        <v>76.31</v>
      </c>
      <c r="F43" s="42">
        <f t="shared" si="1"/>
        <v>95.387500000000003</v>
      </c>
      <c r="I43" s="53"/>
    </row>
    <row r="44" spans="1:9" x14ac:dyDescent="0.25">
      <c r="A44" s="13">
        <v>3294</v>
      </c>
      <c r="B44" s="6" t="s">
        <v>70</v>
      </c>
      <c r="C44" s="43">
        <v>53</v>
      </c>
      <c r="D44" s="43">
        <v>150</v>
      </c>
      <c r="E44" s="43">
        <v>53.09</v>
      </c>
      <c r="F44" s="42">
        <f t="shared" si="1"/>
        <v>35.393333333333338</v>
      </c>
      <c r="I44" s="53"/>
    </row>
    <row r="45" spans="1:9" x14ac:dyDescent="0.25">
      <c r="A45" s="13">
        <v>3295</v>
      </c>
      <c r="B45" s="6" t="s">
        <v>71</v>
      </c>
      <c r="C45" s="43"/>
      <c r="D45" s="43">
        <v>55</v>
      </c>
      <c r="E45" s="43">
        <v>68.319999999999993</v>
      </c>
      <c r="F45" s="42">
        <f t="shared" si="1"/>
        <v>124.2181818181818</v>
      </c>
      <c r="I45" s="53"/>
    </row>
    <row r="46" spans="1:9" x14ac:dyDescent="0.25">
      <c r="A46" s="13">
        <v>3296</v>
      </c>
      <c r="B46" s="6" t="s">
        <v>72</v>
      </c>
      <c r="C46" s="43"/>
      <c r="D46" s="43"/>
      <c r="E46" s="43"/>
      <c r="F46" s="42"/>
      <c r="I46" s="53"/>
    </row>
    <row r="47" spans="1:9" x14ac:dyDescent="0.25">
      <c r="A47" s="13">
        <v>3299</v>
      </c>
      <c r="B47" s="6" t="s">
        <v>66</v>
      </c>
      <c r="C47" s="43">
        <v>810</v>
      </c>
      <c r="D47" s="43">
        <f>1990.85+1200</f>
        <v>3190.85</v>
      </c>
      <c r="E47" s="43">
        <v>1219.6500000000001</v>
      </c>
      <c r="F47" s="42">
        <f t="shared" si="1"/>
        <v>38.223357412601658</v>
      </c>
      <c r="I47" s="53"/>
    </row>
    <row r="48" spans="1:9" x14ac:dyDescent="0.25">
      <c r="A48" s="3">
        <v>34</v>
      </c>
      <c r="B48" s="8" t="s">
        <v>73</v>
      </c>
      <c r="C48" s="42">
        <f>C49</f>
        <v>1095</v>
      </c>
      <c r="D48" s="42">
        <f>D49</f>
        <v>1130</v>
      </c>
      <c r="E48" s="42">
        <f>E49</f>
        <v>1491.85</v>
      </c>
      <c r="F48" s="42">
        <f t="shared" si="1"/>
        <v>132.02212389380529</v>
      </c>
      <c r="I48" s="53"/>
    </row>
    <row r="49" spans="1:9" x14ac:dyDescent="0.25">
      <c r="A49" s="3">
        <v>343</v>
      </c>
      <c r="B49" s="8" t="s">
        <v>74</v>
      </c>
      <c r="C49" s="42">
        <f>SUM(C50:C52)</f>
        <v>1095</v>
      </c>
      <c r="D49" s="42">
        <f>SUM(D50:D52)</f>
        <v>1130</v>
      </c>
      <c r="E49" s="42">
        <f>SUM(E50:E52)</f>
        <v>1491.85</v>
      </c>
      <c r="F49" s="42">
        <f t="shared" si="1"/>
        <v>132.02212389380529</v>
      </c>
      <c r="I49" s="53"/>
    </row>
    <row r="50" spans="1:9" x14ac:dyDescent="0.25">
      <c r="A50" s="13">
        <v>3431</v>
      </c>
      <c r="B50" s="6" t="s">
        <v>75</v>
      </c>
      <c r="C50" s="43">
        <v>1062</v>
      </c>
      <c r="D50" s="43">
        <v>1100</v>
      </c>
      <c r="E50" s="43">
        <v>1434.09</v>
      </c>
      <c r="F50" s="42">
        <f t="shared" si="1"/>
        <v>130.37181818181818</v>
      </c>
      <c r="I50" s="53"/>
    </row>
    <row r="51" spans="1:9" x14ac:dyDescent="0.25">
      <c r="A51" s="13">
        <v>3433</v>
      </c>
      <c r="B51" s="6" t="s">
        <v>76</v>
      </c>
      <c r="C51" s="43"/>
      <c r="D51" s="43"/>
      <c r="E51" s="43"/>
      <c r="F51" s="42"/>
      <c r="I51" s="53"/>
    </row>
    <row r="52" spans="1:9" x14ac:dyDescent="0.25">
      <c r="A52" s="13">
        <v>3434</v>
      </c>
      <c r="B52" s="6" t="s">
        <v>77</v>
      </c>
      <c r="C52" s="43">
        <v>33</v>
      </c>
      <c r="D52" s="43">
        <v>30</v>
      </c>
      <c r="E52" s="43">
        <v>57.76</v>
      </c>
      <c r="F52" s="42">
        <f t="shared" si="1"/>
        <v>192.53333333333333</v>
      </c>
      <c r="I52" s="53"/>
    </row>
    <row r="53" spans="1:9" ht="30" x14ac:dyDescent="0.25">
      <c r="A53" s="3">
        <v>371</v>
      </c>
      <c r="B53" s="8" t="s">
        <v>173</v>
      </c>
      <c r="C53" s="42">
        <f>SUM(C54:C55)</f>
        <v>0</v>
      </c>
      <c r="D53" s="42">
        <f t="shared" ref="D53" si="4">SUM(D54:D55)</f>
        <v>0</v>
      </c>
      <c r="E53" s="42">
        <v>0</v>
      </c>
      <c r="F53" s="42">
        <v>0</v>
      </c>
      <c r="I53" s="53"/>
    </row>
    <row r="54" spans="1:9" ht="30" x14ac:dyDescent="0.25">
      <c r="A54" s="13">
        <v>3711</v>
      </c>
      <c r="B54" s="6" t="s">
        <v>78</v>
      </c>
      <c r="C54" s="43"/>
      <c r="D54" s="43"/>
      <c r="E54" s="43"/>
      <c r="F54" s="42"/>
      <c r="I54" s="53"/>
    </row>
    <row r="55" spans="1:9" x14ac:dyDescent="0.25">
      <c r="A55" s="13">
        <v>3712</v>
      </c>
      <c r="B55" s="6" t="s">
        <v>119</v>
      </c>
      <c r="C55" s="43"/>
      <c r="D55" s="43"/>
      <c r="E55" s="43">
        <v>0</v>
      </c>
      <c r="F55" s="42">
        <v>0</v>
      </c>
      <c r="I55" s="53"/>
    </row>
    <row r="56" spans="1:9" x14ac:dyDescent="0.25">
      <c r="A56" s="3">
        <v>372</v>
      </c>
      <c r="B56" s="8" t="s">
        <v>137</v>
      </c>
      <c r="C56" s="42">
        <f>SUM(C57:C58)</f>
        <v>29863</v>
      </c>
      <c r="D56" s="42">
        <f>SUM(D57:D58)</f>
        <v>41269.719999999994</v>
      </c>
      <c r="E56" s="42">
        <f>E58+E57</f>
        <v>34703.82</v>
      </c>
      <c r="F56" s="42">
        <f t="shared" si="1"/>
        <v>84.090272480646846</v>
      </c>
      <c r="I56" s="53"/>
    </row>
    <row r="57" spans="1:9" x14ac:dyDescent="0.25">
      <c r="A57" s="20">
        <v>3721</v>
      </c>
      <c r="B57" s="6" t="s">
        <v>172</v>
      </c>
      <c r="C57" s="51">
        <v>664</v>
      </c>
      <c r="D57" s="51">
        <v>1150</v>
      </c>
      <c r="E57" s="51">
        <v>1090</v>
      </c>
      <c r="F57" s="42"/>
      <c r="I57" s="53"/>
    </row>
    <row r="58" spans="1:9" x14ac:dyDescent="0.25">
      <c r="A58" s="13">
        <v>3722</v>
      </c>
      <c r="B58" s="6" t="s">
        <v>138</v>
      </c>
      <c r="C58" s="43">
        <v>29199</v>
      </c>
      <c r="D58" s="43">
        <f>33199.02+6920.7</f>
        <v>40119.719999999994</v>
      </c>
      <c r="E58" s="43">
        <f>31208.82+2405</f>
        <v>33613.82</v>
      </c>
      <c r="F58" s="42">
        <f t="shared" si="1"/>
        <v>83.783785131102618</v>
      </c>
      <c r="I58" s="53"/>
    </row>
    <row r="59" spans="1:9" x14ac:dyDescent="0.25">
      <c r="A59" s="3">
        <v>38</v>
      </c>
      <c r="B59" s="8" t="s">
        <v>39</v>
      </c>
      <c r="C59" s="42"/>
      <c r="D59" s="42"/>
      <c r="E59" s="42"/>
      <c r="F59" s="42"/>
      <c r="I59" s="53"/>
    </row>
    <row r="60" spans="1:9" x14ac:dyDescent="0.25">
      <c r="A60" s="3">
        <v>381</v>
      </c>
      <c r="B60" s="8" t="s">
        <v>80</v>
      </c>
      <c r="C60" s="42"/>
      <c r="D60" s="42"/>
      <c r="E60" s="42">
        <f>E61</f>
        <v>0</v>
      </c>
      <c r="F60" s="42"/>
      <c r="I60" s="53"/>
    </row>
    <row r="61" spans="1:9" x14ac:dyDescent="0.25">
      <c r="A61" s="13">
        <v>3811</v>
      </c>
      <c r="B61" s="6" t="s">
        <v>81</v>
      </c>
      <c r="C61" s="43"/>
      <c r="D61" s="43"/>
      <c r="E61" s="43">
        <v>0</v>
      </c>
      <c r="F61" s="42"/>
      <c r="I61" s="53"/>
    </row>
    <row r="62" spans="1:9" x14ac:dyDescent="0.25">
      <c r="A62" s="13">
        <v>3812</v>
      </c>
      <c r="B62" s="6" t="s">
        <v>82</v>
      </c>
      <c r="C62" s="43"/>
      <c r="D62" s="43"/>
      <c r="E62" s="43"/>
      <c r="F62" s="42"/>
      <c r="I62" s="53"/>
    </row>
    <row r="63" spans="1:9" x14ac:dyDescent="0.25">
      <c r="A63" s="3">
        <v>4</v>
      </c>
      <c r="B63" s="8" t="s">
        <v>89</v>
      </c>
      <c r="C63" s="42"/>
      <c r="D63" s="42"/>
      <c r="E63" s="42"/>
      <c r="F63" s="42"/>
      <c r="I63" s="53"/>
    </row>
    <row r="64" spans="1:9" x14ac:dyDescent="0.25">
      <c r="A64" s="3">
        <v>421</v>
      </c>
      <c r="B64" s="8" t="s">
        <v>84</v>
      </c>
      <c r="C64" s="42">
        <v>1963</v>
      </c>
      <c r="D64" s="42"/>
      <c r="E64" s="42">
        <v>0</v>
      </c>
      <c r="F64" s="42"/>
      <c r="I64" s="53"/>
    </row>
    <row r="65" spans="1:11" x14ac:dyDescent="0.25">
      <c r="A65" s="3">
        <v>422</v>
      </c>
      <c r="B65" s="8" t="s">
        <v>83</v>
      </c>
      <c r="C65" s="42"/>
      <c r="D65" s="42"/>
      <c r="E65" s="42"/>
      <c r="F65" s="42"/>
      <c r="I65" s="53"/>
    </row>
    <row r="66" spans="1:11" hidden="1" x14ac:dyDescent="0.25">
      <c r="A66" s="13">
        <v>4221</v>
      </c>
      <c r="B66" s="6" t="s">
        <v>85</v>
      </c>
      <c r="C66" s="43"/>
      <c r="D66" s="43"/>
      <c r="E66" s="43"/>
      <c r="F66" s="42"/>
      <c r="I66" s="53"/>
    </row>
    <row r="67" spans="1:11" hidden="1" x14ac:dyDescent="0.25">
      <c r="A67" s="13">
        <v>4222</v>
      </c>
      <c r="B67" s="6" t="s">
        <v>86</v>
      </c>
      <c r="C67" s="43"/>
      <c r="D67" s="43"/>
      <c r="E67" s="43"/>
      <c r="F67" s="42"/>
      <c r="I67" s="53"/>
    </row>
    <row r="68" spans="1:11" x14ac:dyDescent="0.25">
      <c r="A68" s="3">
        <v>424</v>
      </c>
      <c r="B68" s="8" t="s">
        <v>87</v>
      </c>
      <c r="C68" s="42"/>
      <c r="D68" s="42"/>
      <c r="E68" s="42"/>
      <c r="F68" s="42"/>
      <c r="I68" s="53"/>
    </row>
    <row r="69" spans="1:11" x14ac:dyDescent="0.25">
      <c r="A69" s="13">
        <v>4241</v>
      </c>
      <c r="B69" s="6" t="s">
        <v>88</v>
      </c>
      <c r="C69" s="43"/>
      <c r="D69" s="43"/>
      <c r="E69" s="43"/>
      <c r="F69" s="42"/>
      <c r="I69" s="53"/>
    </row>
    <row r="70" spans="1:11" x14ac:dyDescent="0.25">
      <c r="A70" s="13"/>
      <c r="B70" s="9" t="s">
        <v>98</v>
      </c>
      <c r="C70" s="43">
        <f>C7+C15+C49+C53+C56+C64</f>
        <v>274219</v>
      </c>
      <c r="D70" s="43">
        <f>D7+D15+D49+D53+D56+D64</f>
        <v>260758.39999999999</v>
      </c>
      <c r="E70" s="43">
        <f>E7+E15+E49+E53+E56+E64+E60</f>
        <v>253149.74000000002</v>
      </c>
      <c r="F70" s="42">
        <f t="shared" si="1"/>
        <v>97.082103587075252</v>
      </c>
      <c r="I70" s="53"/>
    </row>
    <row r="71" spans="1:11" x14ac:dyDescent="0.25">
      <c r="A71" s="27"/>
      <c r="B71" s="28"/>
      <c r="C71" s="47"/>
      <c r="D71" s="47"/>
      <c r="E71" s="47"/>
      <c r="F71" s="61"/>
      <c r="I71" s="53"/>
    </row>
    <row r="72" spans="1:11" x14ac:dyDescent="0.25">
      <c r="A72" s="24" t="s">
        <v>144</v>
      </c>
      <c r="I72" s="53"/>
    </row>
    <row r="73" spans="1:11" ht="30.75" customHeight="1" x14ac:dyDescent="0.25">
      <c r="A73" s="3" t="s">
        <v>159</v>
      </c>
      <c r="B73" s="2" t="s">
        <v>18</v>
      </c>
      <c r="C73" s="64" t="s">
        <v>164</v>
      </c>
      <c r="D73" s="35" t="s">
        <v>163</v>
      </c>
      <c r="E73" s="41" t="s">
        <v>169</v>
      </c>
      <c r="F73" s="41" t="s">
        <v>20</v>
      </c>
      <c r="I73" s="53"/>
      <c r="K73" s="53">
        <f>I73-J73</f>
        <v>0</v>
      </c>
    </row>
    <row r="74" spans="1:11" ht="15.75" x14ac:dyDescent="0.25">
      <c r="A74" s="3"/>
      <c r="B74" s="2">
        <v>1</v>
      </c>
      <c r="C74" s="45">
        <v>4</v>
      </c>
      <c r="D74" s="45">
        <v>3</v>
      </c>
      <c r="E74" s="45">
        <v>4</v>
      </c>
      <c r="F74" s="41" t="s">
        <v>140</v>
      </c>
      <c r="I74" s="53"/>
    </row>
    <row r="75" spans="1:11" x14ac:dyDescent="0.25">
      <c r="A75" s="3">
        <v>321</v>
      </c>
      <c r="B75" s="7" t="s">
        <v>43</v>
      </c>
      <c r="C75" s="42"/>
      <c r="D75" s="42">
        <v>1223</v>
      </c>
      <c r="E75" s="42">
        <v>1262.71</v>
      </c>
      <c r="F75" s="42">
        <f t="shared" ref="F75:F77" si="5">E75/D75*100</f>
        <v>103.24693376941947</v>
      </c>
      <c r="I75" s="53"/>
    </row>
    <row r="76" spans="1:11" x14ac:dyDescent="0.25">
      <c r="A76" s="13">
        <v>3211</v>
      </c>
      <c r="B76" s="5" t="s">
        <v>44</v>
      </c>
      <c r="C76" s="43">
        <v>0</v>
      </c>
      <c r="D76" s="43">
        <v>402.71</v>
      </c>
      <c r="E76" s="43">
        <v>402.71</v>
      </c>
      <c r="F76" s="42">
        <f t="shared" si="5"/>
        <v>100</v>
      </c>
      <c r="H76" s="53"/>
      <c r="I76" s="53"/>
    </row>
    <row r="77" spans="1:11" x14ac:dyDescent="0.25">
      <c r="A77" s="13">
        <v>3213</v>
      </c>
      <c r="B77" s="6" t="s">
        <v>48</v>
      </c>
      <c r="C77" s="43"/>
      <c r="D77" s="43">
        <v>820</v>
      </c>
      <c r="E77" s="43">
        <v>860</v>
      </c>
      <c r="F77" s="42">
        <f t="shared" si="5"/>
        <v>104.8780487804878</v>
      </c>
      <c r="H77" s="53"/>
      <c r="I77" s="53"/>
    </row>
    <row r="78" spans="1:11" x14ac:dyDescent="0.25">
      <c r="A78" s="3">
        <v>322</v>
      </c>
      <c r="B78" s="7" t="s">
        <v>46</v>
      </c>
      <c r="C78" s="42">
        <f>SUM(C79:C83)</f>
        <v>22682</v>
      </c>
      <c r="D78" s="42">
        <f>SUM(D79:D92)</f>
        <v>12389.4249</v>
      </c>
      <c r="E78" s="42">
        <f>SUM(E79:E83)</f>
        <v>6110.04</v>
      </c>
      <c r="F78" s="42">
        <f>E78/D78*100</f>
        <v>49.316574815349178</v>
      </c>
      <c r="I78" s="53"/>
    </row>
    <row r="79" spans="1:11" x14ac:dyDescent="0.25">
      <c r="A79" s="13">
        <v>3222</v>
      </c>
      <c r="B79" s="21" t="s">
        <v>174</v>
      </c>
      <c r="C79" s="43"/>
      <c r="D79" s="43">
        <v>0</v>
      </c>
      <c r="E79" s="43">
        <v>102.41</v>
      </c>
      <c r="F79" s="42"/>
      <c r="I79" s="53"/>
    </row>
    <row r="80" spans="1:11" x14ac:dyDescent="0.25">
      <c r="A80" s="13">
        <v>3223</v>
      </c>
      <c r="B80" s="6" t="s">
        <v>51</v>
      </c>
      <c r="C80" s="43">
        <v>18701</v>
      </c>
      <c r="D80" s="43">
        <v>0</v>
      </c>
      <c r="E80" s="43">
        <v>0</v>
      </c>
      <c r="F80" s="42">
        <v>0</v>
      </c>
      <c r="I80" s="53"/>
    </row>
    <row r="81" spans="1:9" x14ac:dyDescent="0.25">
      <c r="A81" s="13">
        <v>3224</v>
      </c>
      <c r="B81" s="6" t="s">
        <v>52</v>
      </c>
      <c r="C81" s="43"/>
      <c r="D81" s="43"/>
      <c r="E81" s="43"/>
      <c r="F81" s="42"/>
      <c r="I81" s="53"/>
    </row>
    <row r="82" spans="1:9" x14ac:dyDescent="0.25">
      <c r="A82" s="13">
        <v>3299</v>
      </c>
      <c r="B82" s="6" t="s">
        <v>128</v>
      </c>
      <c r="C82" s="43"/>
      <c r="D82" s="43">
        <v>650.33489999999995</v>
      </c>
      <c r="E82" s="43"/>
      <c r="F82" s="42">
        <f t="shared" ref="F82:F102" si="6">E82/D82*100</f>
        <v>0</v>
      </c>
      <c r="I82" s="53"/>
    </row>
    <row r="83" spans="1:9" x14ac:dyDescent="0.25">
      <c r="A83" s="13">
        <v>3225</v>
      </c>
      <c r="B83" s="6" t="s">
        <v>53</v>
      </c>
      <c r="C83" s="43">
        <v>3981</v>
      </c>
      <c r="D83" s="43">
        <v>8000</v>
      </c>
      <c r="E83" s="43">
        <v>6007.63</v>
      </c>
      <c r="F83" s="42"/>
      <c r="I83" s="53"/>
    </row>
    <row r="84" spans="1:9" s="18" customFormat="1" x14ac:dyDescent="0.25">
      <c r="A84" s="3">
        <v>323</v>
      </c>
      <c r="B84" s="8" t="s">
        <v>55</v>
      </c>
      <c r="C84" s="42">
        <f>SUM(C86:C92)</f>
        <v>3022</v>
      </c>
      <c r="D84" s="42"/>
      <c r="E84" s="42">
        <f>SUM(E85:E92)</f>
        <v>3084.6200000000003</v>
      </c>
      <c r="F84" s="42"/>
      <c r="I84" s="53"/>
    </row>
    <row r="85" spans="1:9" s="18" customFormat="1" x14ac:dyDescent="0.25">
      <c r="A85" s="13">
        <v>3231</v>
      </c>
      <c r="B85" s="6" t="s">
        <v>56</v>
      </c>
      <c r="C85" s="42"/>
      <c r="D85" s="51">
        <v>1862.2</v>
      </c>
      <c r="E85" s="51">
        <v>1995.2</v>
      </c>
      <c r="F85" s="42"/>
      <c r="I85" s="53"/>
    </row>
    <row r="86" spans="1:9" s="19" customFormat="1" x14ac:dyDescent="0.25">
      <c r="A86" s="20">
        <v>3236</v>
      </c>
      <c r="B86" s="15" t="s">
        <v>61</v>
      </c>
      <c r="C86" s="51">
        <v>1327</v>
      </c>
      <c r="D86" s="51"/>
      <c r="E86" s="51">
        <v>0</v>
      </c>
      <c r="F86" s="51"/>
      <c r="I86" s="53"/>
    </row>
    <row r="87" spans="1:9" s="19" customFormat="1" x14ac:dyDescent="0.25">
      <c r="A87" s="20">
        <v>3237</v>
      </c>
      <c r="B87" s="15" t="s">
        <v>62</v>
      </c>
      <c r="C87" s="51">
        <v>332</v>
      </c>
      <c r="D87" s="51"/>
      <c r="E87" s="51">
        <v>0</v>
      </c>
      <c r="F87" s="51"/>
      <c r="I87" s="53"/>
    </row>
    <row r="88" spans="1:9" x14ac:dyDescent="0.25">
      <c r="A88" s="13">
        <v>3238</v>
      </c>
      <c r="B88" s="6" t="s">
        <v>63</v>
      </c>
      <c r="C88" s="43">
        <v>64</v>
      </c>
      <c r="D88" s="43"/>
      <c r="E88" s="43">
        <v>0</v>
      </c>
      <c r="F88" s="42"/>
      <c r="I88" s="53"/>
    </row>
    <row r="89" spans="1:9" x14ac:dyDescent="0.25">
      <c r="A89" s="13">
        <v>3239</v>
      </c>
      <c r="B89" s="6" t="s">
        <v>145</v>
      </c>
      <c r="C89" s="43">
        <v>798</v>
      </c>
      <c r="D89" s="43">
        <v>676.89</v>
      </c>
      <c r="E89" s="43">
        <v>791.64</v>
      </c>
      <c r="F89" s="42">
        <v>0</v>
      </c>
      <c r="I89" s="53"/>
    </row>
    <row r="90" spans="1:9" x14ac:dyDescent="0.25">
      <c r="A90" s="13">
        <v>3292</v>
      </c>
      <c r="B90" s="6" t="s">
        <v>68</v>
      </c>
      <c r="C90" s="43"/>
      <c r="D90" s="43"/>
      <c r="E90" s="43">
        <v>65</v>
      </c>
      <c r="F90" s="42"/>
      <c r="I90" s="53"/>
    </row>
    <row r="91" spans="1:9" x14ac:dyDescent="0.25">
      <c r="A91" s="13">
        <v>3293</v>
      </c>
      <c r="B91" s="6" t="s">
        <v>69</v>
      </c>
      <c r="C91" s="43">
        <v>310</v>
      </c>
      <c r="D91" s="43"/>
      <c r="E91" s="43">
        <v>0</v>
      </c>
      <c r="F91" s="42"/>
      <c r="I91" s="53"/>
    </row>
    <row r="92" spans="1:9" x14ac:dyDescent="0.25">
      <c r="A92" s="13">
        <v>3299</v>
      </c>
      <c r="B92" s="6" t="s">
        <v>66</v>
      </c>
      <c r="C92" s="43">
        <v>191</v>
      </c>
      <c r="D92" s="43">
        <v>1200</v>
      </c>
      <c r="E92" s="43">
        <v>232.78</v>
      </c>
      <c r="F92" s="42"/>
      <c r="I92" s="53"/>
    </row>
    <row r="93" spans="1:9" s="18" customFormat="1" x14ac:dyDescent="0.25">
      <c r="A93" s="3">
        <v>3721</v>
      </c>
      <c r="B93" s="8" t="s">
        <v>129</v>
      </c>
      <c r="C93" s="42">
        <v>0</v>
      </c>
      <c r="D93" s="42">
        <v>1327.23</v>
      </c>
      <c r="E93" s="42">
        <v>0</v>
      </c>
      <c r="F93" s="42">
        <f t="shared" si="6"/>
        <v>0</v>
      </c>
      <c r="I93" s="53"/>
    </row>
    <row r="94" spans="1:9" s="18" customFormat="1" x14ac:dyDescent="0.25">
      <c r="A94" s="3">
        <v>3722</v>
      </c>
      <c r="B94" s="8" t="s">
        <v>155</v>
      </c>
      <c r="C94" s="42">
        <v>736</v>
      </c>
      <c r="D94" s="42"/>
      <c r="E94" s="42">
        <v>0</v>
      </c>
      <c r="F94" s="42"/>
      <c r="I94" s="53"/>
    </row>
    <row r="95" spans="1:9" s="18" customFormat="1" x14ac:dyDescent="0.25">
      <c r="A95" s="3">
        <v>3811</v>
      </c>
      <c r="B95" s="8" t="s">
        <v>81</v>
      </c>
      <c r="C95" s="42"/>
      <c r="D95" s="42">
        <v>1500</v>
      </c>
      <c r="E95" s="42">
        <v>2302.6</v>
      </c>
      <c r="F95" s="42">
        <f t="shared" si="6"/>
        <v>153.50666666666666</v>
      </c>
      <c r="I95" s="53"/>
    </row>
    <row r="96" spans="1:9" x14ac:dyDescent="0.25">
      <c r="A96" s="3">
        <v>421</v>
      </c>
      <c r="B96" s="8" t="s">
        <v>84</v>
      </c>
      <c r="C96" s="42">
        <f>C97</f>
        <v>17600</v>
      </c>
      <c r="D96" s="42">
        <f>D97</f>
        <v>0</v>
      </c>
      <c r="E96" s="42">
        <f>E97</f>
        <v>0</v>
      </c>
      <c r="F96" s="42">
        <v>0</v>
      </c>
      <c r="I96" s="53"/>
    </row>
    <row r="97" spans="1:9 16384:16384" x14ac:dyDescent="0.25">
      <c r="A97" s="13">
        <v>4211</v>
      </c>
      <c r="B97" s="6" t="s">
        <v>139</v>
      </c>
      <c r="C97" s="43">
        <v>17600</v>
      </c>
      <c r="D97" s="43">
        <v>0</v>
      </c>
      <c r="E97" s="43">
        <v>0</v>
      </c>
      <c r="F97" s="42">
        <v>0</v>
      </c>
      <c r="H97" s="53"/>
      <c r="I97" s="53"/>
    </row>
    <row r="98" spans="1:9 16384:16384" s="18" customFormat="1" x14ac:dyDescent="0.25">
      <c r="A98" s="3">
        <v>422</v>
      </c>
      <c r="B98" s="8" t="s">
        <v>83</v>
      </c>
      <c r="C98" s="42">
        <f>SUM(C99:C101)</f>
        <v>4944</v>
      </c>
      <c r="D98" s="42">
        <f>SUM(D99:D100)</f>
        <v>13000</v>
      </c>
      <c r="E98" s="42">
        <f>SUM(E99:E101)</f>
        <v>11240.8</v>
      </c>
      <c r="F98" s="42">
        <f t="shared" si="6"/>
        <v>86.467692307692303</v>
      </c>
      <c r="H98" s="63"/>
      <c r="I98" s="53"/>
      <c r="XFD98" s="18">
        <f>SUM(A98:XFC98)</f>
        <v>29693.267692307691</v>
      </c>
    </row>
    <row r="99" spans="1:9 16384:16384" x14ac:dyDescent="0.25">
      <c r="A99" s="13">
        <v>4221</v>
      </c>
      <c r="B99" s="6" t="s">
        <v>85</v>
      </c>
      <c r="C99" s="43">
        <v>4652</v>
      </c>
      <c r="D99" s="43">
        <v>8000</v>
      </c>
      <c r="E99" s="43">
        <v>6475</v>
      </c>
      <c r="F99" s="42"/>
      <c r="I99" s="53"/>
    </row>
    <row r="100" spans="1:9 16384:16384" x14ac:dyDescent="0.25">
      <c r="A100" s="13">
        <v>4223</v>
      </c>
      <c r="B100" s="6" t="s">
        <v>166</v>
      </c>
      <c r="C100" s="43"/>
      <c r="D100" s="43">
        <v>5000</v>
      </c>
      <c r="E100" s="43">
        <v>4765.8</v>
      </c>
      <c r="F100" s="42"/>
      <c r="I100" s="53"/>
    </row>
    <row r="101" spans="1:9 16384:16384" x14ac:dyDescent="0.25">
      <c r="A101" s="13">
        <v>4241</v>
      </c>
      <c r="B101" s="6" t="s">
        <v>88</v>
      </c>
      <c r="C101" s="43">
        <v>292</v>
      </c>
      <c r="D101" s="43"/>
      <c r="E101" s="43">
        <v>0</v>
      </c>
      <c r="F101" s="42"/>
      <c r="I101" s="53"/>
    </row>
    <row r="102" spans="1:9 16384:16384" x14ac:dyDescent="0.25">
      <c r="A102" s="13"/>
      <c r="B102" s="60" t="s">
        <v>98</v>
      </c>
      <c r="C102" s="42">
        <f>C78+C84+C93+C95+C96+C98+C94</f>
        <v>48984</v>
      </c>
      <c r="D102" s="42">
        <f>D78+D84+D93+D95+D96+D98+D94+D75</f>
        <v>29439.654900000001</v>
      </c>
      <c r="E102" s="42">
        <f>E78+E84+E93+E95+E96+E98+E94+E75</f>
        <v>24000.769999999997</v>
      </c>
      <c r="F102" s="42">
        <f t="shared" si="6"/>
        <v>81.525310271215162</v>
      </c>
      <c r="I102" s="53"/>
    </row>
    <row r="103" spans="1:9 16384:16384" x14ac:dyDescent="0.25">
      <c r="A103" s="27"/>
      <c r="B103" s="28"/>
      <c r="C103" s="47"/>
      <c r="D103" s="47"/>
      <c r="E103" s="47"/>
      <c r="F103" s="42"/>
      <c r="I103" s="53"/>
    </row>
    <row r="104" spans="1:9 16384:16384" x14ac:dyDescent="0.25">
      <c r="A104" s="24" t="s">
        <v>142</v>
      </c>
      <c r="F104" s="42"/>
      <c r="I104" s="53"/>
    </row>
    <row r="105" spans="1:9 16384:16384" ht="30" x14ac:dyDescent="0.25">
      <c r="A105" s="3" t="s">
        <v>159</v>
      </c>
      <c r="B105" s="2" t="s">
        <v>18</v>
      </c>
      <c r="C105" s="64" t="s">
        <v>164</v>
      </c>
      <c r="D105" s="35" t="s">
        <v>163</v>
      </c>
      <c r="E105" s="41" t="s">
        <v>169</v>
      </c>
      <c r="F105" s="41" t="s">
        <v>20</v>
      </c>
      <c r="I105" s="53"/>
    </row>
    <row r="106" spans="1:9 16384:16384" ht="15.75" x14ac:dyDescent="0.25">
      <c r="A106" s="3"/>
      <c r="B106" s="2">
        <v>1</v>
      </c>
      <c r="C106" s="45">
        <v>4</v>
      </c>
      <c r="D106" s="45">
        <v>3</v>
      </c>
      <c r="E106" s="45">
        <v>4</v>
      </c>
      <c r="F106" s="41" t="s">
        <v>140</v>
      </c>
      <c r="I106" s="53"/>
    </row>
    <row r="107" spans="1:9 16384:16384" x14ac:dyDescent="0.25">
      <c r="A107" s="3">
        <v>31</v>
      </c>
      <c r="B107" s="7" t="s">
        <v>36</v>
      </c>
      <c r="C107" s="42">
        <f>C108+C110+C112</f>
        <v>7555</v>
      </c>
      <c r="D107" s="42">
        <f t="shared" ref="D107:E107" si="7">D108+D110+D112</f>
        <v>26500</v>
      </c>
      <c r="E107" s="42">
        <f t="shared" si="7"/>
        <v>12453.720000000008</v>
      </c>
      <c r="F107" s="42">
        <f t="shared" ref="F107:F178" si="8">E107/D107*100</f>
        <v>46.995169811320785</v>
      </c>
      <c r="I107" s="53"/>
    </row>
    <row r="108" spans="1:9 16384:16384" x14ac:dyDescent="0.25">
      <c r="A108" s="3">
        <v>311</v>
      </c>
      <c r="B108" s="7" t="s">
        <v>37</v>
      </c>
      <c r="C108" s="42">
        <f>C109</f>
        <v>807</v>
      </c>
      <c r="D108" s="42">
        <f t="shared" ref="D108:E108" si="9">D109</f>
        <v>6000</v>
      </c>
      <c r="E108" s="42">
        <f t="shared" si="9"/>
        <v>6913.0400000000081</v>
      </c>
      <c r="F108" s="42">
        <f t="shared" si="8"/>
        <v>115.21733333333346</v>
      </c>
      <c r="I108" s="53"/>
    </row>
    <row r="109" spans="1:9 16384:16384" x14ac:dyDescent="0.25">
      <c r="A109" s="13">
        <v>3111</v>
      </c>
      <c r="B109" s="5" t="s">
        <v>38</v>
      </c>
      <c r="C109" s="43">
        <v>807</v>
      </c>
      <c r="D109" s="43">
        <v>6000</v>
      </c>
      <c r="E109" s="43">
        <f>70734.13-63821.09</f>
        <v>6913.0400000000081</v>
      </c>
      <c r="F109" s="42">
        <f t="shared" si="8"/>
        <v>115.21733333333346</v>
      </c>
      <c r="I109" s="53"/>
    </row>
    <row r="110" spans="1:9 16384:16384" x14ac:dyDescent="0.25">
      <c r="A110" s="3">
        <v>312</v>
      </c>
      <c r="B110" s="7" t="s">
        <v>39</v>
      </c>
      <c r="C110" s="42">
        <f>C111</f>
        <v>5804</v>
      </c>
      <c r="D110" s="42">
        <f t="shared" ref="D110:E110" si="10">D111</f>
        <v>8000</v>
      </c>
      <c r="E110" s="42">
        <f t="shared" si="10"/>
        <v>1746.8500000000004</v>
      </c>
      <c r="F110" s="42">
        <f t="shared" si="8"/>
        <v>21.835625000000007</v>
      </c>
      <c r="I110" s="53"/>
    </row>
    <row r="111" spans="1:9 16384:16384" x14ac:dyDescent="0.25">
      <c r="A111" s="13">
        <v>3121</v>
      </c>
      <c r="B111" s="5" t="s">
        <v>39</v>
      </c>
      <c r="C111" s="43">
        <v>5804</v>
      </c>
      <c r="D111" s="43">
        <v>8000</v>
      </c>
      <c r="E111" s="43">
        <f>6450.43-4703.58</f>
        <v>1746.8500000000004</v>
      </c>
      <c r="F111" s="42">
        <f t="shared" si="8"/>
        <v>21.835625000000007</v>
      </c>
      <c r="I111" s="53"/>
    </row>
    <row r="112" spans="1:9 16384:16384" s="18" customFormat="1" x14ac:dyDescent="0.25">
      <c r="A112" s="3">
        <v>313</v>
      </c>
      <c r="B112" s="7" t="s">
        <v>40</v>
      </c>
      <c r="C112" s="42">
        <f>C113</f>
        <v>944</v>
      </c>
      <c r="D112" s="42">
        <f t="shared" ref="D112:E112" si="11">D113</f>
        <v>12500</v>
      </c>
      <c r="E112" s="42">
        <f t="shared" si="11"/>
        <v>3793.83</v>
      </c>
      <c r="F112" s="42">
        <f t="shared" si="8"/>
        <v>30.350640000000002</v>
      </c>
      <c r="I112" s="53"/>
    </row>
    <row r="113" spans="1:9" x14ac:dyDescent="0.25">
      <c r="A113" s="13">
        <v>3132</v>
      </c>
      <c r="B113" s="6" t="s">
        <v>41</v>
      </c>
      <c r="C113" s="43">
        <v>944</v>
      </c>
      <c r="D113" s="43">
        <v>12500</v>
      </c>
      <c r="E113" s="43">
        <f>12273.86-8480.03</f>
        <v>3793.83</v>
      </c>
      <c r="F113" s="42">
        <f t="shared" si="8"/>
        <v>30.350640000000002</v>
      </c>
      <c r="I113" s="53"/>
    </row>
    <row r="114" spans="1:9" x14ac:dyDescent="0.25">
      <c r="A114" s="3">
        <v>32</v>
      </c>
      <c r="B114" s="7" t="s">
        <v>97</v>
      </c>
      <c r="C114" s="42">
        <f>C115+C118+C122+C129</f>
        <v>80258</v>
      </c>
      <c r="D114" s="42">
        <f t="shared" ref="D114:E114" si="12">D115+D118+D122+D129</f>
        <v>46284.86</v>
      </c>
      <c r="E114" s="42">
        <f t="shared" si="12"/>
        <v>52884.33</v>
      </c>
      <c r="F114" s="42">
        <f t="shared" si="8"/>
        <v>114.25837736140933</v>
      </c>
      <c r="I114" s="53"/>
    </row>
    <row r="115" spans="1:9" x14ac:dyDescent="0.25">
      <c r="A115" s="3">
        <v>321</v>
      </c>
      <c r="B115" s="7" t="s">
        <v>43</v>
      </c>
      <c r="C115" s="42">
        <f>SUM(C116:C117)</f>
        <v>5438</v>
      </c>
      <c r="D115" s="42">
        <f t="shared" ref="D115:E115" si="13">SUM(D116:D117)</f>
        <v>4500</v>
      </c>
      <c r="E115" s="42">
        <f t="shared" si="13"/>
        <v>4251.6100000000006</v>
      </c>
      <c r="F115" s="42">
        <f t="shared" si="8"/>
        <v>94.480222222222238</v>
      </c>
      <c r="I115" s="53"/>
    </row>
    <row r="116" spans="1:9" x14ac:dyDescent="0.25">
      <c r="A116" s="13">
        <v>3211</v>
      </c>
      <c r="B116" s="5" t="s">
        <v>44</v>
      </c>
      <c r="C116" s="43">
        <v>3609</v>
      </c>
      <c r="D116" s="43">
        <v>2000</v>
      </c>
      <c r="E116" s="43">
        <f>2066.1+58.61</f>
        <v>2124.71</v>
      </c>
      <c r="F116" s="42"/>
      <c r="I116" s="53"/>
    </row>
    <row r="117" spans="1:9" x14ac:dyDescent="0.25">
      <c r="A117" s="13">
        <v>3212</v>
      </c>
      <c r="B117" s="5" t="s">
        <v>120</v>
      </c>
      <c r="C117" s="43">
        <v>1829</v>
      </c>
      <c r="D117" s="43">
        <v>2500</v>
      </c>
      <c r="E117" s="43">
        <f>2126.9</f>
        <v>2126.9</v>
      </c>
      <c r="F117" s="42">
        <f t="shared" si="8"/>
        <v>85.076000000000008</v>
      </c>
      <c r="I117" s="53"/>
    </row>
    <row r="118" spans="1:9" x14ac:dyDescent="0.25">
      <c r="A118" s="3">
        <v>322</v>
      </c>
      <c r="B118" s="7" t="s">
        <v>46</v>
      </c>
      <c r="C118" s="42">
        <f>SUM(C119:C121)</f>
        <v>57023</v>
      </c>
      <c r="D118" s="42">
        <f t="shared" ref="D118:E118" si="14">SUM(D119:D121)</f>
        <v>28500</v>
      </c>
      <c r="E118" s="42">
        <f t="shared" si="14"/>
        <v>27815.86</v>
      </c>
      <c r="F118" s="42">
        <f t="shared" si="8"/>
        <v>97.59950877192982</v>
      </c>
      <c r="I118" s="53"/>
    </row>
    <row r="119" spans="1:9" x14ac:dyDescent="0.25">
      <c r="A119" s="13">
        <v>3221</v>
      </c>
      <c r="B119" s="6" t="s">
        <v>121</v>
      </c>
      <c r="C119" s="43">
        <v>578</v>
      </c>
      <c r="D119" s="43">
        <v>200</v>
      </c>
      <c r="E119" s="43">
        <f>6497.51+98.04</f>
        <v>6595.55</v>
      </c>
      <c r="F119" s="42">
        <f t="shared" si="8"/>
        <v>3297.7750000000001</v>
      </c>
      <c r="I119" s="53"/>
    </row>
    <row r="120" spans="1:9" x14ac:dyDescent="0.25">
      <c r="A120" s="13">
        <v>3222</v>
      </c>
      <c r="B120" s="6" t="s">
        <v>122</v>
      </c>
      <c r="C120" s="43">
        <v>56445</v>
      </c>
      <c r="D120" s="43">
        <v>26500</v>
      </c>
      <c r="E120" s="43">
        <v>21220.31</v>
      </c>
      <c r="F120" s="42">
        <f t="shared" si="8"/>
        <v>80.076641509433969</v>
      </c>
      <c r="I120" s="53"/>
    </row>
    <row r="121" spans="1:9" x14ac:dyDescent="0.25">
      <c r="A121" s="13">
        <v>3223</v>
      </c>
      <c r="B121" s="6" t="s">
        <v>51</v>
      </c>
      <c r="C121" s="43"/>
      <c r="D121" s="43">
        <v>1800</v>
      </c>
      <c r="E121" s="43"/>
      <c r="F121" s="42" t="s">
        <v>157</v>
      </c>
      <c r="I121" s="53"/>
    </row>
    <row r="122" spans="1:9" s="18" customFormat="1" x14ac:dyDescent="0.25">
      <c r="A122" s="3">
        <v>323</v>
      </c>
      <c r="B122" s="8" t="s">
        <v>55</v>
      </c>
      <c r="C122" s="42">
        <f>SUM(C123:C127)</f>
        <v>10957</v>
      </c>
      <c r="D122" s="42">
        <f>SUM(D123:D128)</f>
        <v>9284.86</v>
      </c>
      <c r="E122" s="42">
        <f>SUM(E123:E127)</f>
        <v>10414.189999999999</v>
      </c>
      <c r="F122" s="42">
        <f t="shared" si="8"/>
        <v>112.16313439297952</v>
      </c>
      <c r="I122" s="53"/>
    </row>
    <row r="123" spans="1:9" s="19" customFormat="1" x14ac:dyDescent="0.25">
      <c r="A123" s="20">
        <v>3231</v>
      </c>
      <c r="B123" s="15" t="s">
        <v>154</v>
      </c>
      <c r="C123" s="51">
        <v>9</v>
      </c>
      <c r="D123" s="51"/>
      <c r="E123" s="51">
        <v>337.5</v>
      </c>
      <c r="F123" s="51"/>
      <c r="I123" s="53"/>
    </row>
    <row r="124" spans="1:9" x14ac:dyDescent="0.25">
      <c r="A124" s="13">
        <v>3233</v>
      </c>
      <c r="B124" s="6" t="s">
        <v>58</v>
      </c>
      <c r="C124" s="43">
        <v>5662</v>
      </c>
      <c r="D124" s="43">
        <v>6630.4</v>
      </c>
      <c r="E124" s="43">
        <v>5199.54</v>
      </c>
      <c r="F124" s="42">
        <f t="shared" si="8"/>
        <v>78.419703185328189</v>
      </c>
      <c r="I124" s="53"/>
    </row>
    <row r="125" spans="1:9" x14ac:dyDescent="0.25">
      <c r="A125" s="13">
        <v>3235</v>
      </c>
      <c r="B125" s="6" t="s">
        <v>156</v>
      </c>
      <c r="C125" s="43">
        <v>265</v>
      </c>
      <c r="D125" s="43"/>
      <c r="E125" s="43">
        <v>0</v>
      </c>
      <c r="F125" s="42"/>
      <c r="I125" s="53"/>
    </row>
    <row r="126" spans="1:9" x14ac:dyDescent="0.25">
      <c r="A126" s="13">
        <v>3237</v>
      </c>
      <c r="B126" s="6" t="s">
        <v>62</v>
      </c>
      <c r="C126" s="43">
        <v>174</v>
      </c>
      <c r="D126" s="43"/>
      <c r="E126" s="43">
        <v>856.65</v>
      </c>
      <c r="F126" s="42"/>
      <c r="I126" s="53"/>
    </row>
    <row r="127" spans="1:9" x14ac:dyDescent="0.25">
      <c r="A127" s="13">
        <v>3238</v>
      </c>
      <c r="B127" s="6" t="s">
        <v>63</v>
      </c>
      <c r="C127" s="43">
        <v>4847</v>
      </c>
      <c r="D127" s="43">
        <v>2654.46</v>
      </c>
      <c r="E127" s="43">
        <v>4020.5</v>
      </c>
      <c r="F127" s="42">
        <f t="shared" si="8"/>
        <v>151.4620676145054</v>
      </c>
      <c r="I127" s="53"/>
    </row>
    <row r="128" spans="1:9" x14ac:dyDescent="0.25">
      <c r="A128" s="13">
        <v>3239</v>
      </c>
      <c r="B128" s="6" t="s">
        <v>123</v>
      </c>
      <c r="C128" s="43"/>
      <c r="D128" s="43"/>
      <c r="E128" s="43"/>
      <c r="F128" s="42"/>
      <c r="I128" s="53"/>
    </row>
    <row r="129" spans="1:10" s="18" customFormat="1" x14ac:dyDescent="0.25">
      <c r="A129" s="3">
        <v>329</v>
      </c>
      <c r="B129" s="8" t="s">
        <v>66</v>
      </c>
      <c r="C129" s="42">
        <f>SUM(C130:C131)</f>
        <v>6840</v>
      </c>
      <c r="D129" s="42">
        <f t="shared" ref="D129:E129" si="15">SUM(D130:D131)</f>
        <v>4000</v>
      </c>
      <c r="E129" s="42">
        <f t="shared" si="15"/>
        <v>10402.67</v>
      </c>
      <c r="F129" s="42">
        <f t="shared" si="8"/>
        <v>260.06675000000001</v>
      </c>
      <c r="I129" s="53"/>
    </row>
    <row r="130" spans="1:10" x14ac:dyDescent="0.25">
      <c r="A130" s="13">
        <v>3292</v>
      </c>
      <c r="B130" s="6" t="s">
        <v>68</v>
      </c>
      <c r="C130" s="43">
        <v>3886</v>
      </c>
      <c r="D130" s="43">
        <v>4000</v>
      </c>
      <c r="E130" s="43">
        <v>4254</v>
      </c>
      <c r="F130" s="42">
        <f t="shared" si="8"/>
        <v>106.35</v>
      </c>
      <c r="I130" s="53"/>
    </row>
    <row r="131" spans="1:10" x14ac:dyDescent="0.25">
      <c r="A131" s="13">
        <v>3299</v>
      </c>
      <c r="B131" s="6" t="s">
        <v>66</v>
      </c>
      <c r="C131" s="43">
        <v>2954</v>
      </c>
      <c r="D131" s="43"/>
      <c r="E131" s="43">
        <v>6148.67</v>
      </c>
      <c r="F131" s="42"/>
      <c r="I131" s="53"/>
    </row>
    <row r="132" spans="1:10" s="18" customFormat="1" x14ac:dyDescent="0.25">
      <c r="A132" s="3">
        <v>343</v>
      </c>
      <c r="B132" s="8" t="s">
        <v>152</v>
      </c>
      <c r="C132" s="42">
        <f>C133</f>
        <v>74</v>
      </c>
      <c r="D132" s="42"/>
      <c r="E132" s="42">
        <v>0</v>
      </c>
      <c r="F132" s="42"/>
      <c r="I132" s="53"/>
    </row>
    <row r="133" spans="1:10" x14ac:dyDescent="0.25">
      <c r="A133" s="13">
        <v>3431</v>
      </c>
      <c r="B133" s="6" t="s">
        <v>146</v>
      </c>
      <c r="C133" s="43">
        <v>74</v>
      </c>
      <c r="D133" s="43"/>
      <c r="E133" s="43">
        <v>0</v>
      </c>
      <c r="F133" s="42"/>
      <c r="I133" s="53"/>
    </row>
    <row r="134" spans="1:10" s="18" customFormat="1" x14ac:dyDescent="0.25">
      <c r="A134" s="3">
        <v>372</v>
      </c>
      <c r="B134" s="8" t="s">
        <v>153</v>
      </c>
      <c r="C134" s="42">
        <f>C135</f>
        <v>159</v>
      </c>
      <c r="D134" s="42"/>
      <c r="E134" s="42">
        <v>0</v>
      </c>
      <c r="F134" s="42"/>
      <c r="I134" s="53"/>
    </row>
    <row r="135" spans="1:10" ht="14.25" customHeight="1" x14ac:dyDescent="0.25">
      <c r="A135" s="13">
        <v>3721</v>
      </c>
      <c r="B135" s="6" t="s">
        <v>147</v>
      </c>
      <c r="C135" s="43">
        <v>159</v>
      </c>
      <c r="D135" s="43"/>
      <c r="E135" s="43">
        <v>14</v>
      </c>
      <c r="F135" s="42"/>
      <c r="I135" s="53"/>
    </row>
    <row r="136" spans="1:10" s="18" customFormat="1" x14ac:dyDescent="0.25">
      <c r="A136" s="3">
        <v>381</v>
      </c>
      <c r="B136" s="8" t="s">
        <v>81</v>
      </c>
      <c r="C136" s="42">
        <f>C137</f>
        <v>1146</v>
      </c>
      <c r="D136" s="42"/>
      <c r="E136" s="42">
        <v>0</v>
      </c>
      <c r="F136" s="42"/>
      <c r="I136" s="53"/>
    </row>
    <row r="137" spans="1:10" x14ac:dyDescent="0.25">
      <c r="A137" s="13">
        <v>3811</v>
      </c>
      <c r="B137" s="6" t="s">
        <v>124</v>
      </c>
      <c r="C137" s="43">
        <v>1146</v>
      </c>
      <c r="D137" s="43"/>
      <c r="E137" s="43">
        <v>1131</v>
      </c>
      <c r="F137" s="42"/>
      <c r="I137" s="53"/>
    </row>
    <row r="138" spans="1:10" x14ac:dyDescent="0.25">
      <c r="A138" s="13"/>
      <c r="B138" s="6"/>
      <c r="C138" s="43"/>
      <c r="D138" s="43"/>
      <c r="E138" s="43"/>
      <c r="F138" s="42"/>
      <c r="I138" s="53"/>
    </row>
    <row r="139" spans="1:10" x14ac:dyDescent="0.25">
      <c r="A139" s="13"/>
      <c r="B139" s="9" t="s">
        <v>98</v>
      </c>
      <c r="C139" s="42">
        <f>C107+C114+C132+C134+C136</f>
        <v>89192</v>
      </c>
      <c r="D139" s="42">
        <f t="shared" ref="D139:E139" si="16">D107+D114+D132+D134+D136</f>
        <v>72784.86</v>
      </c>
      <c r="E139" s="42">
        <f t="shared" si="16"/>
        <v>65338.05000000001</v>
      </c>
      <c r="F139" s="42">
        <f t="shared" si="8"/>
        <v>89.768737619334587</v>
      </c>
      <c r="I139" s="53"/>
    </row>
    <row r="140" spans="1:10" x14ac:dyDescent="0.25">
      <c r="A140" s="27"/>
      <c r="B140" s="28"/>
      <c r="C140" s="47"/>
      <c r="D140" s="47"/>
      <c r="E140" s="47"/>
      <c r="F140" s="61"/>
      <c r="I140" s="53"/>
    </row>
    <row r="141" spans="1:10" x14ac:dyDescent="0.25">
      <c r="A141" s="24" t="s">
        <v>141</v>
      </c>
      <c r="F141" s="62"/>
      <c r="I141" s="53"/>
    </row>
    <row r="142" spans="1:10" ht="30" x14ac:dyDescent="0.25">
      <c r="A142" s="3" t="s">
        <v>159</v>
      </c>
      <c r="B142" s="2" t="s">
        <v>18</v>
      </c>
      <c r="C142" s="64" t="s">
        <v>164</v>
      </c>
      <c r="D142" s="35" t="s">
        <v>163</v>
      </c>
      <c r="E142" s="41" t="s">
        <v>169</v>
      </c>
      <c r="F142" s="41" t="s">
        <v>20</v>
      </c>
      <c r="I142" s="53"/>
    </row>
    <row r="143" spans="1:10" ht="15.75" x14ac:dyDescent="0.25">
      <c r="A143" s="3"/>
      <c r="B143" s="2">
        <v>1</v>
      </c>
      <c r="C143" s="45">
        <v>4</v>
      </c>
      <c r="D143" s="45">
        <v>3</v>
      </c>
      <c r="E143" s="45">
        <v>4</v>
      </c>
      <c r="F143" s="41" t="s">
        <v>140</v>
      </c>
      <c r="I143" s="53"/>
      <c r="J143" s="53"/>
    </row>
    <row r="144" spans="1:10" x14ac:dyDescent="0.25">
      <c r="A144" s="3">
        <v>31</v>
      </c>
      <c r="B144" s="7" t="s">
        <v>36</v>
      </c>
      <c r="C144" s="42">
        <f>C145+C149+C151</f>
        <v>1678810</v>
      </c>
      <c r="D144" s="42">
        <f>D145+D149+D151</f>
        <v>1865939.11</v>
      </c>
      <c r="E144" s="42">
        <f>E145+E149+E151</f>
        <v>1893900.21</v>
      </c>
      <c r="F144" s="42">
        <f t="shared" si="8"/>
        <v>101.4985001305857</v>
      </c>
      <c r="I144" s="53"/>
    </row>
    <row r="145" spans="1:9" x14ac:dyDescent="0.25">
      <c r="A145" s="3">
        <v>311</v>
      </c>
      <c r="B145" s="7" t="s">
        <v>37</v>
      </c>
      <c r="C145" s="42">
        <f>SUM(C146:C148)</f>
        <v>1391735</v>
      </c>
      <c r="D145" s="42">
        <f>SUM(D146:D148)</f>
        <v>1533651.4700000002</v>
      </c>
      <c r="E145" s="42">
        <f>SUM(E146:E148)</f>
        <v>1557385.78</v>
      </c>
      <c r="F145" s="42">
        <f t="shared" si="8"/>
        <v>101.54756869238352</v>
      </c>
      <c r="I145" s="53"/>
    </row>
    <row r="146" spans="1:9" x14ac:dyDescent="0.25">
      <c r="A146" s="13">
        <v>3111</v>
      </c>
      <c r="B146" s="5" t="s">
        <v>38</v>
      </c>
      <c r="C146" s="43">
        <v>1346964</v>
      </c>
      <c r="D146" s="43">
        <f>1450000+18309.31+3231.05+12278.34+2166.77+3706</f>
        <v>1489691.4700000002</v>
      </c>
      <c r="E146" s="43">
        <f>1476594.4+31217.31+5508.94</f>
        <v>1513320.65</v>
      </c>
      <c r="F146" s="42">
        <f t="shared" si="8"/>
        <v>101.586179452313</v>
      </c>
      <c r="I146" s="53"/>
    </row>
    <row r="147" spans="1:9" x14ac:dyDescent="0.25">
      <c r="A147" s="13">
        <v>3113</v>
      </c>
      <c r="B147" s="5" t="s">
        <v>126</v>
      </c>
      <c r="C147" s="43">
        <v>36984</v>
      </c>
      <c r="D147" s="43">
        <f>36000</f>
        <v>36000</v>
      </c>
      <c r="E147" s="43">
        <f>36775.28</f>
        <v>36775.279999999999</v>
      </c>
      <c r="F147" s="42">
        <f t="shared" si="8"/>
        <v>102.15355555555554</v>
      </c>
      <c r="I147" s="53"/>
    </row>
    <row r="148" spans="1:9" x14ac:dyDescent="0.25">
      <c r="A148" s="13">
        <v>3114</v>
      </c>
      <c r="B148" s="5" t="s">
        <v>127</v>
      </c>
      <c r="C148" s="43">
        <v>7787</v>
      </c>
      <c r="D148" s="43">
        <f>7960</f>
        <v>7960</v>
      </c>
      <c r="E148" s="43">
        <f>7289.85</f>
        <v>7289.85</v>
      </c>
      <c r="F148" s="42">
        <f t="shared" si="8"/>
        <v>91.581030150753776</v>
      </c>
      <c r="I148" s="53"/>
    </row>
    <row r="149" spans="1:9" x14ac:dyDescent="0.25">
      <c r="A149" s="3">
        <v>312</v>
      </c>
      <c r="B149" s="7" t="s">
        <v>39</v>
      </c>
      <c r="C149" s="42">
        <f>C150</f>
        <v>57028</v>
      </c>
      <c r="D149" s="42">
        <f>D150</f>
        <v>87100</v>
      </c>
      <c r="E149" s="42">
        <f>E150</f>
        <v>75936.209999999992</v>
      </c>
      <c r="F149" s="42">
        <f t="shared" si="8"/>
        <v>87.182789896670485</v>
      </c>
      <c r="I149" s="53"/>
    </row>
    <row r="150" spans="1:9" x14ac:dyDescent="0.25">
      <c r="A150" s="13">
        <v>3121</v>
      </c>
      <c r="B150" s="5" t="s">
        <v>39</v>
      </c>
      <c r="C150" s="43">
        <v>57028</v>
      </c>
      <c r="D150" s="43">
        <f>82000+2167.5+382.5+2167.5+382.5</f>
        <v>87100</v>
      </c>
      <c r="E150" s="43">
        <f>64984.78+4840.75+854.25+5256.43</f>
        <v>75936.209999999992</v>
      </c>
      <c r="F150" s="42">
        <f t="shared" si="8"/>
        <v>87.182789896670485</v>
      </c>
      <c r="I150" s="53"/>
    </row>
    <row r="151" spans="1:9" s="18" customFormat="1" x14ac:dyDescent="0.25">
      <c r="A151" s="3">
        <v>313</v>
      </c>
      <c r="B151" s="7" t="s">
        <v>40</v>
      </c>
      <c r="C151" s="42">
        <f>C152+C153</f>
        <v>230047</v>
      </c>
      <c r="D151" s="42">
        <f>D152+D153</f>
        <v>245187.63999999998</v>
      </c>
      <c r="E151" s="42">
        <f>E152+E153</f>
        <v>260578.22</v>
      </c>
      <c r="F151" s="42">
        <f t="shared" si="8"/>
        <v>106.27706192693891</v>
      </c>
      <c r="I151" s="53"/>
    </row>
    <row r="152" spans="1:9" x14ac:dyDescent="0.25">
      <c r="A152" s="13">
        <v>3132</v>
      </c>
      <c r="B152" s="6" t="s">
        <v>41</v>
      </c>
      <c r="C152" s="43">
        <v>229738</v>
      </c>
      <c r="D152" s="43">
        <f>239250+3021.08+533.13+2025.91+357.52</f>
        <v>245187.63999999998</v>
      </c>
      <c r="E152" s="43">
        <f>254375.74+5150.91+908+143.57</f>
        <v>260578.22</v>
      </c>
      <c r="F152" s="42">
        <f t="shared" si="8"/>
        <v>106.27706192693891</v>
      </c>
      <c r="I152" s="53"/>
    </row>
    <row r="153" spans="1:9" ht="30" x14ac:dyDescent="0.25">
      <c r="A153" s="13">
        <v>3133</v>
      </c>
      <c r="B153" s="6" t="s">
        <v>42</v>
      </c>
      <c r="C153" s="43">
        <v>309</v>
      </c>
      <c r="D153" s="43"/>
      <c r="E153" s="43">
        <v>0</v>
      </c>
      <c r="F153" s="42">
        <v>0</v>
      </c>
      <c r="I153" s="53"/>
    </row>
    <row r="154" spans="1:9" x14ac:dyDescent="0.25">
      <c r="A154" s="3">
        <v>32</v>
      </c>
      <c r="B154" s="7" t="s">
        <v>97</v>
      </c>
      <c r="C154" s="42">
        <f>C155+C160+C167+C177+C179</f>
        <v>163131</v>
      </c>
      <c r="D154" s="42">
        <f>D155+D160+D167+D177+D179</f>
        <v>342653.97</v>
      </c>
      <c r="E154" s="42">
        <f>E155+E160+E167+E177+E179</f>
        <v>275131.81</v>
      </c>
      <c r="F154" s="42">
        <f t="shared" si="8"/>
        <v>80.294359350338198</v>
      </c>
      <c r="I154" s="53"/>
    </row>
    <row r="155" spans="1:9" x14ac:dyDescent="0.25">
      <c r="A155" s="3">
        <v>321</v>
      </c>
      <c r="B155" s="7" t="s">
        <v>43</v>
      </c>
      <c r="C155" s="42">
        <f>SUM(C156:C159)</f>
        <v>78101</v>
      </c>
      <c r="D155" s="42">
        <f>SUM(D156:D159)</f>
        <v>119847.81</v>
      </c>
      <c r="E155" s="42">
        <f>SUM(E156:E159)</f>
        <v>79613.509999999995</v>
      </c>
      <c r="F155" s="42">
        <f t="shared" si="8"/>
        <v>66.428840043051267</v>
      </c>
      <c r="I155" s="53"/>
    </row>
    <row r="156" spans="1:9" x14ac:dyDescent="0.25">
      <c r="A156" s="13">
        <v>3211</v>
      </c>
      <c r="B156" s="5" t="s">
        <v>44</v>
      </c>
      <c r="C156" s="43">
        <v>27013</v>
      </c>
      <c r="D156" s="43">
        <f>65880.95+353+57.55+10.16+57.5+10.2</f>
        <v>66369.36</v>
      </c>
      <c r="E156" s="43">
        <f>319+57.54+10.16+26370.21</f>
        <v>26756.91</v>
      </c>
      <c r="F156" s="42">
        <f t="shared" si="8"/>
        <v>40.315154462842493</v>
      </c>
      <c r="I156" s="53"/>
    </row>
    <row r="157" spans="1:9" x14ac:dyDescent="0.25">
      <c r="A157" s="13">
        <v>3212</v>
      </c>
      <c r="B157" s="6" t="s">
        <v>45</v>
      </c>
      <c r="C157" s="43">
        <v>48316</v>
      </c>
      <c r="D157" s="43">
        <f>750+47000+1282.18+226.27+867+153</f>
        <v>50278.45</v>
      </c>
      <c r="E157" s="43">
        <f>48178.3+2051.83+362.27</f>
        <v>50592.4</v>
      </c>
      <c r="F157" s="42">
        <f t="shared" si="8"/>
        <v>100.62442259059299</v>
      </c>
      <c r="I157" s="53"/>
    </row>
    <row r="158" spans="1:9" x14ac:dyDescent="0.25">
      <c r="A158" s="13">
        <v>3213</v>
      </c>
      <c r="B158" s="6" t="s">
        <v>48</v>
      </c>
      <c r="C158" s="43">
        <v>626</v>
      </c>
      <c r="D158" s="43"/>
      <c r="E158" s="43">
        <v>735</v>
      </c>
      <c r="F158" s="42">
        <v>0</v>
      </c>
      <c r="I158" s="53"/>
    </row>
    <row r="159" spans="1:9" x14ac:dyDescent="0.25">
      <c r="A159" s="13">
        <v>3214</v>
      </c>
      <c r="B159" s="6" t="s">
        <v>49</v>
      </c>
      <c r="C159" s="43">
        <v>2146</v>
      </c>
      <c r="D159" s="43">
        <v>3200</v>
      </c>
      <c r="E159" s="43">
        <f>58+1471.2</f>
        <v>1529.2</v>
      </c>
      <c r="F159" s="42">
        <f t="shared" si="8"/>
        <v>47.787500000000001</v>
      </c>
      <c r="I159" s="53"/>
    </row>
    <row r="160" spans="1:9" x14ac:dyDescent="0.25">
      <c r="A160" s="3">
        <v>322</v>
      </c>
      <c r="B160" s="7" t="s">
        <v>46</v>
      </c>
      <c r="C160" s="42">
        <f>SUM(C161:C166)</f>
        <v>19408</v>
      </c>
      <c r="D160" s="42">
        <f t="shared" ref="D160" si="17">SUM(D161:D166)</f>
        <v>113909.26</v>
      </c>
      <c r="E160" s="42">
        <f>SUM(E161:E166)</f>
        <v>114413.98</v>
      </c>
      <c r="F160" s="42">
        <f t="shared" si="8"/>
        <v>100.44308952582082</v>
      </c>
      <c r="I160" s="53"/>
    </row>
    <row r="161" spans="1:9" x14ac:dyDescent="0.25">
      <c r="A161" s="13">
        <v>3221</v>
      </c>
      <c r="B161" s="21" t="s">
        <v>47</v>
      </c>
      <c r="C161" s="43">
        <v>2104</v>
      </c>
      <c r="D161" s="43">
        <f>800+2000</f>
        <v>2800</v>
      </c>
      <c r="E161" s="43">
        <f>1728.91+631.88</f>
        <v>2360.79</v>
      </c>
      <c r="F161" s="42">
        <f t="shared" si="8"/>
        <v>84.313928571428562</v>
      </c>
      <c r="I161" s="53"/>
    </row>
    <row r="162" spans="1:9" x14ac:dyDescent="0.25">
      <c r="A162" s="13">
        <v>3222</v>
      </c>
      <c r="B162" s="6" t="s">
        <v>50</v>
      </c>
      <c r="C162" s="43">
        <v>16664</v>
      </c>
      <c r="D162" s="43">
        <f>500+1004.14+100+6940.7+3208.42+100000-644</f>
        <v>111109.26</v>
      </c>
      <c r="E162" s="43">
        <f>9933.06+332.5+100889.75+555</f>
        <v>111710.31</v>
      </c>
      <c r="F162" s="42">
        <f t="shared" si="8"/>
        <v>100.54095401229384</v>
      </c>
      <c r="I162" s="53"/>
    </row>
    <row r="163" spans="1:9" x14ac:dyDescent="0.25">
      <c r="A163" s="13">
        <v>3223</v>
      </c>
      <c r="B163" s="6" t="s">
        <v>51</v>
      </c>
      <c r="C163" s="43">
        <v>0</v>
      </c>
      <c r="D163" s="43"/>
      <c r="E163" s="43">
        <v>205.38</v>
      </c>
      <c r="F163" s="42"/>
      <c r="I163" s="53"/>
    </row>
    <row r="164" spans="1:9" x14ac:dyDescent="0.25">
      <c r="A164" s="13">
        <v>3224</v>
      </c>
      <c r="B164" s="6" t="s">
        <v>52</v>
      </c>
      <c r="C164" s="43"/>
      <c r="D164" s="43"/>
      <c r="E164" s="43"/>
      <c r="F164" s="42"/>
      <c r="I164" s="53"/>
    </row>
    <row r="165" spans="1:9" x14ac:dyDescent="0.25">
      <c r="A165" s="13">
        <v>3225</v>
      </c>
      <c r="B165" s="6" t="s">
        <v>53</v>
      </c>
      <c r="C165" s="43">
        <v>640</v>
      </c>
      <c r="D165" s="43"/>
      <c r="E165" s="43">
        <v>137.5</v>
      </c>
      <c r="F165" s="42"/>
      <c r="I165" s="53"/>
    </row>
    <row r="166" spans="1:9" x14ac:dyDescent="0.25">
      <c r="A166" s="13">
        <v>3227</v>
      </c>
      <c r="B166" s="6" t="s">
        <v>54</v>
      </c>
      <c r="C166" s="43"/>
      <c r="D166" s="43"/>
      <c r="E166" s="43"/>
      <c r="F166" s="42"/>
      <c r="I166" s="53"/>
    </row>
    <row r="167" spans="1:9" s="18" customFormat="1" x14ac:dyDescent="0.25">
      <c r="A167" s="3">
        <v>323</v>
      </c>
      <c r="B167" s="8" t="s">
        <v>55</v>
      </c>
      <c r="C167" s="42">
        <f>SUM(C168:C176)</f>
        <v>40225</v>
      </c>
      <c r="D167" s="42">
        <f>SUM(D168:D176)</f>
        <v>66924.179999999993</v>
      </c>
      <c r="E167" s="42">
        <f>SUM(E168:E176)</f>
        <v>38307.619999999995</v>
      </c>
      <c r="F167" s="42">
        <f t="shared" si="8"/>
        <v>57.240327785861552</v>
      </c>
      <c r="I167" s="53"/>
    </row>
    <row r="168" spans="1:9" x14ac:dyDescent="0.25">
      <c r="A168" s="13">
        <v>3231</v>
      </c>
      <c r="B168" s="6" t="s">
        <v>56</v>
      </c>
      <c r="C168" s="43">
        <v>30492</v>
      </c>
      <c r="D168" s="43">
        <v>53574.18</v>
      </c>
      <c r="E168" s="43">
        <f>14167.95</f>
        <v>14167.95</v>
      </c>
      <c r="F168" s="42">
        <f t="shared" si="8"/>
        <v>26.445481760056804</v>
      </c>
      <c r="I168" s="53"/>
    </row>
    <row r="169" spans="1:9" x14ac:dyDescent="0.25">
      <c r="A169" s="13">
        <v>3232</v>
      </c>
      <c r="B169" s="6" t="s">
        <v>57</v>
      </c>
      <c r="C169" s="43"/>
      <c r="D169" s="43"/>
      <c r="E169" s="43">
        <v>0</v>
      </c>
      <c r="F169" s="42"/>
      <c r="I169" s="53"/>
    </row>
    <row r="170" spans="1:9" x14ac:dyDescent="0.25">
      <c r="A170" s="13">
        <v>3233</v>
      </c>
      <c r="B170" s="6" t="s">
        <v>58</v>
      </c>
      <c r="C170" s="43">
        <v>694</v>
      </c>
      <c r="D170" s="43">
        <v>450</v>
      </c>
      <c r="E170" s="43">
        <v>407.98</v>
      </c>
      <c r="F170" s="42">
        <f t="shared" si="8"/>
        <v>90.662222222222226</v>
      </c>
      <c r="I170" s="53"/>
    </row>
    <row r="171" spans="1:9" x14ac:dyDescent="0.25">
      <c r="A171" s="13">
        <v>3234</v>
      </c>
      <c r="B171" s="6" t="s">
        <v>59</v>
      </c>
      <c r="C171" s="43"/>
      <c r="D171" s="43"/>
      <c r="E171" s="43"/>
      <c r="F171" s="42"/>
      <c r="I171" s="53"/>
    </row>
    <row r="172" spans="1:9" x14ac:dyDescent="0.25">
      <c r="A172" s="13">
        <v>3235</v>
      </c>
      <c r="B172" s="6" t="s">
        <v>60</v>
      </c>
      <c r="C172" s="43"/>
      <c r="D172" s="43"/>
      <c r="E172" s="43">
        <v>39.82</v>
      </c>
      <c r="F172" s="42"/>
      <c r="I172" s="53"/>
    </row>
    <row r="173" spans="1:9" x14ac:dyDescent="0.25">
      <c r="A173" s="13">
        <v>3236</v>
      </c>
      <c r="B173" s="6" t="s">
        <v>61</v>
      </c>
      <c r="C173" s="43"/>
      <c r="D173" s="43"/>
      <c r="E173" s="43"/>
      <c r="F173" s="42"/>
      <c r="I173" s="53"/>
    </row>
    <row r="174" spans="1:9" x14ac:dyDescent="0.25">
      <c r="A174" s="13">
        <v>3237</v>
      </c>
      <c r="B174" s="6" t="s">
        <v>62</v>
      </c>
      <c r="C174" s="43">
        <v>6939</v>
      </c>
      <c r="D174" s="43">
        <f>12500</f>
        <v>12500</v>
      </c>
      <c r="E174" s="43">
        <v>22879</v>
      </c>
      <c r="F174" s="42">
        <f t="shared" si="8"/>
        <v>183.03199999999998</v>
      </c>
      <c r="H174" s="53"/>
      <c r="I174" s="53"/>
    </row>
    <row r="175" spans="1:9" x14ac:dyDescent="0.25">
      <c r="A175" s="13">
        <v>3238</v>
      </c>
      <c r="B175" s="6" t="s">
        <v>63</v>
      </c>
      <c r="C175" s="43">
        <v>342</v>
      </c>
      <c r="D175" s="43">
        <v>200</v>
      </c>
      <c r="E175" s="43">
        <f>174.88+187.5</f>
        <v>362.38</v>
      </c>
      <c r="F175" s="42">
        <f t="shared" si="8"/>
        <v>181.19</v>
      </c>
      <c r="I175" s="53"/>
    </row>
    <row r="176" spans="1:9" x14ac:dyDescent="0.25">
      <c r="A176" s="13">
        <v>3239</v>
      </c>
      <c r="B176" s="6" t="s">
        <v>64</v>
      </c>
      <c r="C176" s="43">
        <v>1758</v>
      </c>
      <c r="D176" s="43">
        <v>200</v>
      </c>
      <c r="E176" s="43">
        <v>450.49</v>
      </c>
      <c r="F176" s="42">
        <f t="shared" si="8"/>
        <v>225.245</v>
      </c>
      <c r="I176" s="53"/>
    </row>
    <row r="177" spans="1:9" x14ac:dyDescent="0.25">
      <c r="A177" s="3">
        <v>324</v>
      </c>
      <c r="B177" s="8" t="s">
        <v>65</v>
      </c>
      <c r="C177" s="42">
        <f>C178</f>
        <v>632</v>
      </c>
      <c r="D177" s="42">
        <f>D178</f>
        <v>1500</v>
      </c>
      <c r="E177" s="42">
        <f>E178</f>
        <v>2060.09</v>
      </c>
      <c r="F177" s="42">
        <f t="shared" si="8"/>
        <v>137.33933333333334</v>
      </c>
      <c r="I177" s="53"/>
    </row>
    <row r="178" spans="1:9" x14ac:dyDescent="0.25">
      <c r="A178" s="13">
        <v>3241</v>
      </c>
      <c r="B178" s="6" t="s">
        <v>65</v>
      </c>
      <c r="C178" s="43">
        <v>632</v>
      </c>
      <c r="D178" s="43">
        <v>1500</v>
      </c>
      <c r="E178" s="43">
        <f>2060.09</f>
        <v>2060.09</v>
      </c>
      <c r="F178" s="42">
        <f t="shared" si="8"/>
        <v>137.33933333333334</v>
      </c>
      <c r="I178" s="53"/>
    </row>
    <row r="179" spans="1:9" s="18" customFormat="1" x14ac:dyDescent="0.25">
      <c r="A179" s="3">
        <v>329</v>
      </c>
      <c r="B179" s="8" t="s">
        <v>66</v>
      </c>
      <c r="C179" s="42">
        <f>SUM(C180:C186)</f>
        <v>24765</v>
      </c>
      <c r="D179" s="42">
        <f>SUM(D180:D186)</f>
        <v>40472.720000000001</v>
      </c>
      <c r="E179" s="42">
        <f>SUM(E180:E186)</f>
        <v>40736.61</v>
      </c>
      <c r="F179" s="42">
        <f t="shared" ref="F179:F204" si="18">E179/D179*100</f>
        <v>100.65201943432514</v>
      </c>
      <c r="I179" s="53"/>
    </row>
    <row r="180" spans="1:9" x14ac:dyDescent="0.25">
      <c r="A180" s="13">
        <v>3291</v>
      </c>
      <c r="B180" s="6" t="s">
        <v>67</v>
      </c>
      <c r="C180" s="43"/>
      <c r="D180" s="43"/>
      <c r="E180" s="43"/>
      <c r="F180" s="42"/>
      <c r="I180" s="53"/>
    </row>
    <row r="181" spans="1:9" x14ac:dyDescent="0.25">
      <c r="A181" s="13">
        <v>3292</v>
      </c>
      <c r="B181" s="6" t="s">
        <v>68</v>
      </c>
      <c r="C181" s="43">
        <v>0</v>
      </c>
      <c r="D181" s="43">
        <v>132.72</v>
      </c>
      <c r="E181" s="43">
        <v>0</v>
      </c>
      <c r="F181" s="42">
        <f t="shared" si="18"/>
        <v>0</v>
      </c>
      <c r="I181" s="53"/>
    </row>
    <row r="182" spans="1:9" x14ac:dyDescent="0.25">
      <c r="A182" s="13">
        <v>3293</v>
      </c>
      <c r="B182" s="6" t="s">
        <v>69</v>
      </c>
      <c r="C182" s="43">
        <v>2190</v>
      </c>
      <c r="D182" s="43">
        <f>1000+200</f>
        <v>1200</v>
      </c>
      <c r="E182" s="43">
        <f>342.7+544.03</f>
        <v>886.73</v>
      </c>
      <c r="F182" s="42">
        <f t="shared" si="18"/>
        <v>73.894166666666678</v>
      </c>
      <c r="I182" s="53"/>
    </row>
    <row r="183" spans="1:9" x14ac:dyDescent="0.25">
      <c r="A183" s="13">
        <v>3294</v>
      </c>
      <c r="B183" s="6" t="s">
        <v>70</v>
      </c>
      <c r="C183" s="43">
        <v>55</v>
      </c>
      <c r="D183" s="43">
        <v>100</v>
      </c>
      <c r="E183" s="43">
        <v>54.99</v>
      </c>
      <c r="F183" s="42">
        <f t="shared" si="18"/>
        <v>54.990000000000009</v>
      </c>
      <c r="I183" s="53"/>
    </row>
    <row r="184" spans="1:9" x14ac:dyDescent="0.25">
      <c r="A184" s="13">
        <v>3295</v>
      </c>
      <c r="B184" s="6" t="s">
        <v>71</v>
      </c>
      <c r="C184" s="43">
        <v>6131</v>
      </c>
      <c r="D184" s="43">
        <v>5040</v>
      </c>
      <c r="E184" s="43">
        <f>4993.29</f>
        <v>4993.29</v>
      </c>
      <c r="F184" s="42">
        <f t="shared" si="18"/>
        <v>99.073214285714286</v>
      </c>
      <c r="I184" s="53"/>
    </row>
    <row r="185" spans="1:9" x14ac:dyDescent="0.25">
      <c r="A185" s="13">
        <v>3296</v>
      </c>
      <c r="B185" s="6" t="s">
        <v>72</v>
      </c>
      <c r="C185" s="43">
        <v>7493</v>
      </c>
      <c r="D185" s="43">
        <v>0</v>
      </c>
      <c r="E185" s="43">
        <v>0</v>
      </c>
      <c r="F185" s="42">
        <v>0</v>
      </c>
      <c r="I185" s="53"/>
    </row>
    <row r="186" spans="1:9" x14ac:dyDescent="0.25">
      <c r="A186" s="13">
        <v>3299</v>
      </c>
      <c r="B186" s="6" t="s">
        <v>66</v>
      </c>
      <c r="C186" s="43">
        <v>8896</v>
      </c>
      <c r="D186" s="43">
        <v>34000</v>
      </c>
      <c r="E186" s="43">
        <v>34801.599999999999</v>
      </c>
      <c r="F186" s="42">
        <f t="shared" si="18"/>
        <v>102.35764705882353</v>
      </c>
      <c r="I186" s="53"/>
    </row>
    <row r="187" spans="1:9" x14ac:dyDescent="0.25">
      <c r="A187" s="3">
        <v>34</v>
      </c>
      <c r="B187" s="8" t="s">
        <v>73</v>
      </c>
      <c r="C187" s="42">
        <f>C188</f>
        <v>4963</v>
      </c>
      <c r="D187" s="42">
        <f>D188</f>
        <v>0</v>
      </c>
      <c r="E187" s="42">
        <f>E188</f>
        <v>0</v>
      </c>
      <c r="F187" s="42"/>
      <c r="I187" s="53"/>
    </row>
    <row r="188" spans="1:9" x14ac:dyDescent="0.25">
      <c r="A188" s="3">
        <v>343</v>
      </c>
      <c r="B188" s="8" t="s">
        <v>74</v>
      </c>
      <c r="C188" s="42">
        <f>SUM(C189:C191)</f>
        <v>4963</v>
      </c>
      <c r="D188" s="42">
        <f t="shared" ref="D188" si="19">SUM(D189:D191)</f>
        <v>0</v>
      </c>
      <c r="E188" s="42">
        <f>SUM(E189:E191)</f>
        <v>0</v>
      </c>
      <c r="F188" s="42">
        <v>0</v>
      </c>
      <c r="I188" s="53"/>
    </row>
    <row r="189" spans="1:9" x14ac:dyDescent="0.25">
      <c r="A189" s="13">
        <v>3431</v>
      </c>
      <c r="B189" s="6" t="s">
        <v>75</v>
      </c>
      <c r="C189" s="43">
        <v>7</v>
      </c>
      <c r="D189" s="43"/>
      <c r="E189" s="43">
        <v>0</v>
      </c>
      <c r="F189" s="42">
        <v>0</v>
      </c>
      <c r="I189" s="53"/>
    </row>
    <row r="190" spans="1:9" x14ac:dyDescent="0.25">
      <c r="A190" s="13">
        <v>3433</v>
      </c>
      <c r="B190" s="6" t="s">
        <v>76</v>
      </c>
      <c r="C190" s="43">
        <v>2774</v>
      </c>
      <c r="D190" s="43">
        <v>0</v>
      </c>
      <c r="E190" s="43">
        <v>0</v>
      </c>
      <c r="F190" s="42"/>
      <c r="I190" s="53"/>
    </row>
    <row r="191" spans="1:9" x14ac:dyDescent="0.25">
      <c r="A191" s="13">
        <v>3434</v>
      </c>
      <c r="B191" s="6" t="s">
        <v>77</v>
      </c>
      <c r="C191" s="43">
        <v>2182</v>
      </c>
      <c r="D191" s="43">
        <v>0</v>
      </c>
      <c r="E191" s="43">
        <v>0</v>
      </c>
      <c r="F191" s="42"/>
      <c r="I191" s="53"/>
    </row>
    <row r="192" spans="1:9" x14ac:dyDescent="0.25">
      <c r="A192" s="3">
        <v>372</v>
      </c>
      <c r="B192" s="8" t="s">
        <v>125</v>
      </c>
      <c r="C192" s="42">
        <f>C193</f>
        <v>19110</v>
      </c>
      <c r="D192" s="42">
        <f>D193</f>
        <v>16558</v>
      </c>
      <c r="E192" s="42">
        <f>E193</f>
        <v>16788.36</v>
      </c>
      <c r="F192" s="42">
        <f t="shared" si="18"/>
        <v>101.39123082497888</v>
      </c>
      <c r="I192" s="53"/>
    </row>
    <row r="193" spans="1:10" x14ac:dyDescent="0.25">
      <c r="A193" s="13">
        <v>3722</v>
      </c>
      <c r="B193" s="6" t="s">
        <v>79</v>
      </c>
      <c r="C193" s="43">
        <v>19110</v>
      </c>
      <c r="D193" s="43">
        <f>2100+14458</f>
        <v>16558</v>
      </c>
      <c r="E193" s="43">
        <f>14457.79+2330.57</f>
        <v>16788.36</v>
      </c>
      <c r="F193" s="42">
        <f t="shared" si="18"/>
        <v>101.39123082497888</v>
      </c>
      <c r="I193" s="53"/>
    </row>
    <row r="194" spans="1:10" x14ac:dyDescent="0.25">
      <c r="A194" s="3">
        <v>38</v>
      </c>
      <c r="B194" s="8" t="s">
        <v>39</v>
      </c>
      <c r="C194" s="42">
        <v>0</v>
      </c>
      <c r="D194" s="42"/>
      <c r="E194" s="42">
        <v>0</v>
      </c>
      <c r="F194" s="42"/>
      <c r="I194" s="53"/>
    </row>
    <row r="195" spans="1:10" x14ac:dyDescent="0.25">
      <c r="A195" s="3">
        <v>381</v>
      </c>
      <c r="B195" s="8" t="s">
        <v>80</v>
      </c>
      <c r="C195" s="42">
        <v>0</v>
      </c>
      <c r="D195" s="42"/>
      <c r="E195" s="42">
        <v>0</v>
      </c>
      <c r="F195" s="42"/>
      <c r="I195" s="53"/>
    </row>
    <row r="196" spans="1:10" x14ac:dyDescent="0.25">
      <c r="A196" s="13">
        <v>3812</v>
      </c>
      <c r="B196" s="6" t="s">
        <v>82</v>
      </c>
      <c r="C196" s="43"/>
      <c r="D196" s="43"/>
      <c r="E196" s="43"/>
      <c r="F196" s="42"/>
      <c r="I196" s="53"/>
    </row>
    <row r="197" spans="1:10" x14ac:dyDescent="0.25">
      <c r="A197" s="3">
        <v>4</v>
      </c>
      <c r="B197" s="8" t="s">
        <v>89</v>
      </c>
      <c r="C197" s="42"/>
      <c r="D197" s="42"/>
      <c r="E197" s="42"/>
      <c r="F197" s="42"/>
      <c r="I197" s="53"/>
    </row>
    <row r="198" spans="1:10" x14ac:dyDescent="0.25">
      <c r="A198" s="3">
        <v>421</v>
      </c>
      <c r="B198" s="8" t="s">
        <v>84</v>
      </c>
      <c r="C198" s="42">
        <v>0</v>
      </c>
      <c r="D198" s="42"/>
      <c r="E198" s="42">
        <v>0</v>
      </c>
      <c r="F198" s="42"/>
      <c r="I198" s="53"/>
    </row>
    <row r="199" spans="1:10" s="18" customFormat="1" x14ac:dyDescent="0.25">
      <c r="A199" s="3">
        <v>422</v>
      </c>
      <c r="B199" s="8" t="s">
        <v>83</v>
      </c>
      <c r="C199" s="42">
        <f>C200</f>
        <v>1598</v>
      </c>
      <c r="D199" s="42">
        <f t="shared" ref="D199" si="20">D200</f>
        <v>0</v>
      </c>
      <c r="E199" s="42">
        <f>E200</f>
        <v>0</v>
      </c>
      <c r="F199" s="42"/>
      <c r="I199" s="53"/>
    </row>
    <row r="200" spans="1:10" x14ac:dyDescent="0.25">
      <c r="A200" s="13">
        <v>4221</v>
      </c>
      <c r="B200" s="6" t="s">
        <v>85</v>
      </c>
      <c r="C200" s="43">
        <v>1598</v>
      </c>
      <c r="D200" s="43"/>
      <c r="E200" s="43">
        <v>0</v>
      </c>
      <c r="F200" s="42"/>
      <c r="I200" s="53"/>
    </row>
    <row r="201" spans="1:10" x14ac:dyDescent="0.25">
      <c r="A201" s="13">
        <v>4222</v>
      </c>
      <c r="B201" s="6" t="s">
        <v>86</v>
      </c>
      <c r="C201" s="43"/>
      <c r="D201" s="43"/>
      <c r="E201" s="43"/>
      <c r="F201" s="42"/>
      <c r="I201" s="53"/>
    </row>
    <row r="202" spans="1:10" x14ac:dyDescent="0.25">
      <c r="A202" s="3">
        <v>424</v>
      </c>
      <c r="B202" s="8" t="s">
        <v>87</v>
      </c>
      <c r="C202" s="42">
        <f>C203</f>
        <v>32402</v>
      </c>
      <c r="D202" s="42">
        <f t="shared" ref="D202:E202" si="21">D203</f>
        <v>19220</v>
      </c>
      <c r="E202" s="42">
        <f t="shared" si="21"/>
        <v>20257.59</v>
      </c>
      <c r="F202" s="42">
        <f t="shared" si="18"/>
        <v>105.39849115504683</v>
      </c>
      <c r="I202" s="53"/>
    </row>
    <row r="203" spans="1:10" x14ac:dyDescent="0.25">
      <c r="A203" s="13">
        <v>4241</v>
      </c>
      <c r="B203" s="6" t="s">
        <v>88</v>
      </c>
      <c r="C203" s="43">
        <v>32402</v>
      </c>
      <c r="D203" s="43">
        <v>19220</v>
      </c>
      <c r="E203" s="43">
        <v>20257.59</v>
      </c>
      <c r="F203" s="42">
        <f t="shared" si="18"/>
        <v>105.39849115504683</v>
      </c>
      <c r="I203" s="53"/>
    </row>
    <row r="204" spans="1:10" x14ac:dyDescent="0.25">
      <c r="A204" s="13"/>
      <c r="B204" s="9" t="s">
        <v>98</v>
      </c>
      <c r="C204" s="43">
        <f>C144+C154+C187+C192+C195+C198+C199+C202</f>
        <v>1900014</v>
      </c>
      <c r="D204" s="43">
        <f>D144+D154+D187+D192+D195+D198+D199+D202</f>
        <v>2244371.08</v>
      </c>
      <c r="E204" s="43">
        <f>E144+E154+E187+E192+E195+E198+E199+E202</f>
        <v>2206077.9699999997</v>
      </c>
      <c r="F204" s="42">
        <f t="shared" si="18"/>
        <v>98.293815566363463</v>
      </c>
      <c r="I204" s="53"/>
      <c r="J204" s="53"/>
    </row>
    <row r="205" spans="1:10" x14ac:dyDescent="0.25">
      <c r="I205" s="5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 dio</vt:lpstr>
      <vt:lpstr>izvršenje finacijskog plana</vt:lpstr>
      <vt:lpstr>izvršenje - klasifikacija i izv</vt:lpstr>
      <vt:lpstr>rashodi po izvorima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2024-03-27T06:28:09Z</cp:lastPrinted>
  <dcterms:created xsi:type="dcterms:W3CDTF">2022-03-08T07:18:33Z</dcterms:created>
  <dcterms:modified xsi:type="dcterms:W3CDTF">2024-04-08T09:31:22Z</dcterms:modified>
  <cp:contentStatus>Konačno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