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-010-001-13551-fi 2022\"/>
    </mc:Choice>
  </mc:AlternateContent>
  <bookViews>
    <workbookView xWindow="0" yWindow="0" windowWidth="28800" windowHeight="13020"/>
  </bookViews>
  <sheets>
    <sheet name="opći dio" sheetId="1" r:id="rId1"/>
    <sheet name="izvršenje finacijskog plana" sheetId="2" r:id="rId2"/>
    <sheet name="izvršenje - klasifikacija i izv" sheetId="3" r:id="rId3"/>
    <sheet name="rashodi po izvorima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9" i="4" l="1"/>
  <c r="E167" i="4"/>
  <c r="E186" i="4" l="1"/>
  <c r="E109" i="4"/>
  <c r="J14" i="4"/>
  <c r="E93" i="4"/>
  <c r="J97" i="4"/>
  <c r="J186" i="4"/>
  <c r="H84" i="2"/>
  <c r="E155" i="4" l="1"/>
  <c r="E31" i="3"/>
  <c r="E150" i="4" l="1"/>
  <c r="I47" i="4" l="1"/>
  <c r="E161" i="4" l="1"/>
  <c r="E178" i="4" l="1"/>
  <c r="I181" i="4"/>
  <c r="E149" i="4"/>
  <c r="J38" i="4"/>
  <c r="I34" i="4"/>
  <c r="D115" i="4" l="1"/>
  <c r="D107" i="4"/>
  <c r="I35" i="4" l="1"/>
  <c r="E80" i="4"/>
  <c r="E113" i="4" l="1"/>
  <c r="E76" i="4" l="1"/>
  <c r="E74" i="4" s="1"/>
  <c r="E112" i="4"/>
  <c r="E22" i="4"/>
  <c r="E139" i="4"/>
  <c r="E145" i="4"/>
  <c r="E138" i="4" l="1"/>
  <c r="E122" i="4"/>
  <c r="E9" i="4" l="1"/>
  <c r="E8" i="4" s="1"/>
  <c r="I6" i="4"/>
  <c r="E101" i="4"/>
  <c r="I9" i="4"/>
  <c r="I24" i="4"/>
  <c r="E120" i="4"/>
  <c r="E111" i="4"/>
  <c r="E24" i="4"/>
  <c r="I137" i="4" l="1"/>
  <c r="I138" i="4" s="1"/>
  <c r="E23" i="4"/>
  <c r="I41" i="4" s="1"/>
  <c r="E26" i="4" l="1"/>
  <c r="I23" i="4" s="1"/>
  <c r="D23" i="4"/>
  <c r="H197" i="4"/>
  <c r="E144" i="4"/>
  <c r="E143" i="4"/>
  <c r="D192" i="4"/>
  <c r="C192" i="4"/>
  <c r="E192" i="4"/>
  <c r="D170" i="4"/>
  <c r="E153" i="4"/>
  <c r="C148" i="4"/>
  <c r="C144" i="4"/>
  <c r="C138" i="4"/>
  <c r="F84" i="4"/>
  <c r="C181" i="4"/>
  <c r="E181" i="4"/>
  <c r="E180" i="4" s="1"/>
  <c r="E185" i="4"/>
  <c r="E175" i="4"/>
  <c r="E168" i="4"/>
  <c r="I146" i="4" s="1"/>
  <c r="E154" i="4"/>
  <c r="I27" i="4" s="1"/>
  <c r="E152" i="4"/>
  <c r="I152" i="4" s="1"/>
  <c r="E171" i="4"/>
  <c r="E170" i="4" s="1"/>
  <c r="E92" i="4"/>
  <c r="I96" i="4" s="1"/>
  <c r="E148" i="4" l="1"/>
  <c r="E142" i="4"/>
  <c r="E137" i="4" s="1"/>
  <c r="C137" i="4"/>
  <c r="E160" i="4"/>
  <c r="I186" i="4"/>
  <c r="I97" i="4"/>
  <c r="XFD92" i="4"/>
  <c r="E95" i="4"/>
  <c r="E110" i="4"/>
  <c r="E100" i="4"/>
  <c r="E117" i="4"/>
  <c r="E115" i="4" s="1"/>
  <c r="E106" i="4"/>
  <c r="E105" i="4" s="1"/>
  <c r="E102" i="4"/>
  <c r="I11" i="4" s="1"/>
  <c r="D95" i="4" l="1"/>
  <c r="D74" i="4"/>
  <c r="E29" i="4"/>
  <c r="E17" i="4"/>
  <c r="I110" i="4" s="1"/>
  <c r="I13" i="4" l="1"/>
  <c r="I161" i="4"/>
  <c r="E18" i="4"/>
  <c r="I21" i="4" s="1"/>
  <c r="K21" i="4" s="1"/>
  <c r="E13" i="4"/>
  <c r="E11" i="4"/>
  <c r="F95" i="4"/>
  <c r="F91" i="4"/>
  <c r="F90" i="4"/>
  <c r="F89" i="4"/>
  <c r="F87" i="4"/>
  <c r="F78" i="4"/>
  <c r="D24" i="4"/>
  <c r="F76" i="4"/>
  <c r="E10" i="4" l="1"/>
  <c r="I143" i="4"/>
  <c r="I10" i="4"/>
  <c r="E12" i="4"/>
  <c r="F74" i="4"/>
  <c r="D11" i="4"/>
  <c r="E126" i="4"/>
  <c r="E7" i="4" l="1"/>
  <c r="I7" i="4" s="1"/>
  <c r="J7" i="4" s="1"/>
  <c r="D155" i="4"/>
  <c r="D150" i="4"/>
  <c r="F150" i="4" s="1"/>
  <c r="D149" i="4"/>
  <c r="D145" i="4"/>
  <c r="D144" i="4" s="1"/>
  <c r="D143" i="4"/>
  <c r="D142" i="4" s="1"/>
  <c r="D139" i="4"/>
  <c r="D186" i="4"/>
  <c r="D185" i="4" s="1"/>
  <c r="D183" i="4"/>
  <c r="F183" i="4" s="1"/>
  <c r="D178" i="4"/>
  <c r="F178" i="4" s="1"/>
  <c r="D177" i="4"/>
  <c r="F177" i="4" s="1"/>
  <c r="D167" i="4"/>
  <c r="F167" i="4" s="1"/>
  <c r="D161" i="4"/>
  <c r="F155" i="4"/>
  <c r="D154" i="4"/>
  <c r="D153" i="4" s="1"/>
  <c r="F145" i="4"/>
  <c r="D141" i="4"/>
  <c r="F141" i="4" s="1"/>
  <c r="D140" i="4"/>
  <c r="F140" i="4" s="1"/>
  <c r="D182" i="4"/>
  <c r="D181" i="4" s="1"/>
  <c r="D180" i="4" s="1"/>
  <c r="D179" i="4"/>
  <c r="F179" i="4" s="1"/>
  <c r="D175" i="4"/>
  <c r="F175" i="4" s="1"/>
  <c r="D174" i="4"/>
  <c r="D169" i="4"/>
  <c r="F169" i="4" s="1"/>
  <c r="D168" i="4"/>
  <c r="F168" i="4" s="1"/>
  <c r="D163" i="4"/>
  <c r="F163" i="4" s="1"/>
  <c r="D152" i="4"/>
  <c r="F152" i="4" s="1"/>
  <c r="D151" i="4"/>
  <c r="F151" i="4" s="1"/>
  <c r="F196" i="4"/>
  <c r="F195" i="4"/>
  <c r="F185" i="4"/>
  <c r="F184" i="4"/>
  <c r="F181" i="4"/>
  <c r="F176" i="4"/>
  <c r="F171" i="4"/>
  <c r="F170" i="4"/>
  <c r="F153" i="4"/>
  <c r="F146" i="4"/>
  <c r="F144" i="4"/>
  <c r="F143" i="4"/>
  <c r="F142" i="4"/>
  <c r="F123" i="4"/>
  <c r="F122" i="4"/>
  <c r="F120" i="4"/>
  <c r="F117" i="4"/>
  <c r="F115" i="4"/>
  <c r="F110" i="4"/>
  <c r="F106" i="4"/>
  <c r="F105" i="4"/>
  <c r="F104" i="4"/>
  <c r="F103" i="4"/>
  <c r="F57" i="4"/>
  <c r="F56" i="4"/>
  <c r="F55" i="4"/>
  <c r="F53" i="4"/>
  <c r="F52" i="4"/>
  <c r="F50" i="4"/>
  <c r="F45" i="4"/>
  <c r="F44" i="4"/>
  <c r="F43" i="4"/>
  <c r="F37" i="4"/>
  <c r="F35" i="4"/>
  <c r="F34" i="4"/>
  <c r="F33" i="4"/>
  <c r="F32" i="4"/>
  <c r="F31" i="4"/>
  <c r="F30" i="4"/>
  <c r="F29" i="4"/>
  <c r="F27" i="4"/>
  <c r="F26" i="4"/>
  <c r="F25" i="4"/>
  <c r="F24" i="4"/>
  <c r="F23" i="4"/>
  <c r="F22" i="4"/>
  <c r="F20" i="4"/>
  <c r="F19" i="4"/>
  <c r="F11" i="4"/>
  <c r="F10" i="4"/>
  <c r="F8" i="4"/>
  <c r="F186" i="4" l="1"/>
  <c r="F139" i="4"/>
  <c r="D138" i="4"/>
  <c r="D137" i="4" s="1"/>
  <c r="F182" i="4"/>
  <c r="F154" i="4"/>
  <c r="F174" i="4"/>
  <c r="D172" i="4"/>
  <c r="F149" i="4"/>
  <c r="D148" i="4"/>
  <c r="F161" i="4"/>
  <c r="D160" i="4"/>
  <c r="F160" i="4" s="1"/>
  <c r="D100" i="4"/>
  <c r="D113" i="4"/>
  <c r="F113" i="4" s="1"/>
  <c r="D102" i="4"/>
  <c r="F102" i="4" s="1"/>
  <c r="E49" i="4"/>
  <c r="C49" i="4"/>
  <c r="C48" i="4" s="1"/>
  <c r="D49" i="4"/>
  <c r="D48" i="4" s="1"/>
  <c r="D21" i="4"/>
  <c r="D18" i="4"/>
  <c r="F18" i="4" s="1"/>
  <c r="D13" i="4"/>
  <c r="D17" i="4"/>
  <c r="F17" i="4" s="1"/>
  <c r="D47" i="4"/>
  <c r="F47" i="4" s="1"/>
  <c r="D36" i="4"/>
  <c r="F36" i="4" s="1"/>
  <c r="F13" i="4" l="1"/>
  <c r="D12" i="4"/>
  <c r="F12" i="4" s="1"/>
  <c r="D147" i="4"/>
  <c r="D197" i="4" s="1"/>
  <c r="F148" i="4"/>
  <c r="D28" i="4"/>
  <c r="D40" i="4"/>
  <c r="D16" i="4"/>
  <c r="D15" i="4" s="1"/>
  <c r="F49" i="4"/>
  <c r="E48" i="4"/>
  <c r="F48" i="4" s="1"/>
  <c r="D9" i="4"/>
  <c r="F9" i="4" l="1"/>
  <c r="D7" i="4"/>
  <c r="F7" i="4" s="1"/>
  <c r="C172" i="4"/>
  <c r="C155" i="4"/>
  <c r="C153" i="4" s="1"/>
  <c r="C113" i="4"/>
  <c r="C111" i="4" s="1"/>
  <c r="C108" i="4"/>
  <c r="C101" i="4"/>
  <c r="C100" i="4"/>
  <c r="C77" i="4"/>
  <c r="C74" i="4" s="1"/>
  <c r="C40" i="4"/>
  <c r="C28" i="4"/>
  <c r="C24" i="4"/>
  <c r="C21" i="4" s="1"/>
  <c r="C18" i="4"/>
  <c r="C16" i="4" s="1"/>
  <c r="C9" i="4"/>
  <c r="C8" i="4"/>
  <c r="C7" i="4"/>
  <c r="H29" i="2"/>
  <c r="G29" i="2"/>
  <c r="C107" i="4" l="1"/>
  <c r="C132" i="4" s="1"/>
  <c r="C147" i="4"/>
  <c r="D69" i="4"/>
  <c r="C15" i="4"/>
  <c r="D29" i="3"/>
  <c r="D25" i="3"/>
  <c r="D14" i="2"/>
  <c r="D8" i="3" l="1"/>
  <c r="C44" i="3"/>
  <c r="C31" i="3"/>
  <c r="C19" i="3"/>
  <c r="D35" i="2" l="1"/>
  <c r="D36" i="2"/>
  <c r="D34" i="2"/>
  <c r="D32" i="2"/>
  <c r="D23" i="2" l="1"/>
  <c r="F24" i="2"/>
  <c r="H15" i="2"/>
  <c r="H19" i="2"/>
  <c r="D18" i="2"/>
  <c r="D15" i="2"/>
  <c r="D7" i="2"/>
  <c r="C24" i="2"/>
  <c r="D12" i="1"/>
  <c r="C12" i="1"/>
  <c r="B8" i="1" l="1"/>
  <c r="E172" i="4" l="1"/>
  <c r="D8" i="1"/>
  <c r="C8" i="1"/>
  <c r="F172" i="4" l="1"/>
  <c r="E147" i="4"/>
  <c r="E197" i="4" s="1"/>
  <c r="F111" i="4"/>
  <c r="F197" i="4" l="1"/>
  <c r="F147" i="4"/>
  <c r="E21" i="4"/>
  <c r="E16" i="4"/>
  <c r="E28" i="4"/>
  <c r="E40" i="4"/>
  <c r="F138" i="4"/>
  <c r="F137" i="4"/>
  <c r="F40" i="4" l="1"/>
  <c r="I172" i="4"/>
  <c r="E15" i="4"/>
  <c r="F28" i="4"/>
  <c r="F21" i="4"/>
  <c r="F16" i="4"/>
  <c r="E108" i="4"/>
  <c r="E107" i="4" s="1"/>
  <c r="E132" i="4" s="1"/>
  <c r="E69" i="4" l="1"/>
  <c r="F69" i="4" s="1"/>
  <c r="I17" i="4"/>
  <c r="I15" i="4"/>
  <c r="F15" i="4"/>
  <c r="F108" i="4"/>
  <c r="I14" i="4"/>
  <c r="I38" i="4"/>
  <c r="I19" i="4"/>
  <c r="F100" i="4"/>
  <c r="F101" i="4"/>
  <c r="I107" i="4" l="1"/>
  <c r="I45" i="4"/>
  <c r="I48" i="4" s="1"/>
  <c r="I30" i="4"/>
  <c r="F107" i="4"/>
  <c r="F132" i="4"/>
  <c r="G89" i="2"/>
  <c r="H88" i="2"/>
  <c r="G88" i="2"/>
  <c r="G86" i="2"/>
  <c r="G85" i="2"/>
  <c r="H83" i="2"/>
  <c r="G83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3" i="2"/>
  <c r="G63" i="2"/>
  <c r="G62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G30" i="2"/>
  <c r="D76" i="2"/>
  <c r="D85" i="2"/>
  <c r="D72" i="2"/>
  <c r="D78" i="2"/>
  <c r="D75" i="2"/>
  <c r="D63" i="2"/>
  <c r="D70" i="2"/>
  <c r="D69" i="2"/>
  <c r="D68" i="2"/>
  <c r="D67" i="2"/>
  <c r="D66" i="2"/>
  <c r="D65" i="2"/>
  <c r="D60" i="2"/>
  <c r="D59" i="2"/>
  <c r="D58" i="2"/>
  <c r="D57" i="2"/>
  <c r="D56" i="2"/>
  <c r="D55" i="2"/>
  <c r="D54" i="2"/>
  <c r="D53" i="2"/>
  <c r="D52" i="2"/>
  <c r="D44" i="2"/>
  <c r="D49" i="2"/>
  <c r="D48" i="2"/>
  <c r="D47" i="2"/>
  <c r="D46" i="2"/>
  <c r="D45" i="2"/>
  <c r="D39" i="2"/>
  <c r="D41" i="2"/>
  <c r="D43" i="2"/>
  <c r="D40" i="2"/>
  <c r="F43" i="3"/>
  <c r="F41" i="3"/>
  <c r="F40" i="3"/>
  <c r="F39" i="3"/>
  <c r="F33" i="3"/>
  <c r="F29" i="3"/>
  <c r="F28" i="3"/>
  <c r="F25" i="3"/>
  <c r="F23" i="3"/>
  <c r="F22" i="3"/>
  <c r="F21" i="3"/>
  <c r="F19" i="3"/>
  <c r="F18" i="3"/>
  <c r="F17" i="3"/>
  <c r="F16" i="3"/>
  <c r="F15" i="3"/>
  <c r="F14" i="3"/>
  <c r="F10" i="3"/>
  <c r="F8" i="3"/>
  <c r="F7" i="3"/>
  <c r="E44" i="3"/>
  <c r="F44" i="3" s="1"/>
  <c r="F31" i="3"/>
  <c r="I197" i="4" l="1"/>
  <c r="J197" i="4" s="1"/>
  <c r="I83" i="4"/>
  <c r="D30" i="2"/>
  <c r="H30" i="2" s="1"/>
  <c r="D31" i="2"/>
  <c r="H24" i="2" l="1"/>
  <c r="G24" i="2"/>
  <c r="H23" i="2"/>
  <c r="G23" i="2"/>
  <c r="G22" i="2"/>
  <c r="G20" i="2"/>
  <c r="H18" i="2"/>
  <c r="G18" i="2"/>
  <c r="H17" i="2"/>
  <c r="G17" i="2"/>
  <c r="H14" i="2"/>
  <c r="G14" i="2"/>
  <c r="H13" i="2"/>
  <c r="G13" i="2"/>
  <c r="H12" i="2"/>
  <c r="G12" i="2"/>
  <c r="H11" i="2"/>
  <c r="G11" i="2"/>
  <c r="H10" i="2"/>
  <c r="G10" i="2"/>
  <c r="H9" i="2"/>
  <c r="G9" i="2"/>
  <c r="H7" i="2"/>
  <c r="G7" i="2"/>
  <c r="H6" i="2"/>
  <c r="G6" i="2"/>
</calcChain>
</file>

<file path=xl/sharedStrings.xml><?xml version="1.0" encoding="utf-8"?>
<sst xmlns="http://schemas.openxmlformats.org/spreadsheetml/2006/main" count="410" uniqueCount="177">
  <si>
    <t>PRIHODI/ RASHODI TEKUĆA  GODINA</t>
  </si>
  <si>
    <t>PRIHODI  UKUPNO</t>
  </si>
  <si>
    <t>Prihod poslovanja</t>
  </si>
  <si>
    <t>Prihod od prodaje nefinacijske imovine</t>
  </si>
  <si>
    <t>RASHOD UKUPNO</t>
  </si>
  <si>
    <t>Rashod poslovanja</t>
  </si>
  <si>
    <t>Rashod za nefinancijsku imovinu</t>
  </si>
  <si>
    <t>RAZLKA- VIŠAK/ MANJAK</t>
  </si>
  <si>
    <t>Plan proračuna 2021.</t>
  </si>
  <si>
    <t>IZVRŠENJE 2020.</t>
  </si>
  <si>
    <t>IZVRŠENJE    2021.</t>
  </si>
  <si>
    <t>ODNOS/DONOS</t>
  </si>
  <si>
    <t>RAČUN FINANCIRANJA</t>
  </si>
  <si>
    <t>Primici od financijske imovine i zaduživanja</t>
  </si>
  <si>
    <t>Izdaci za financijsku imovinu i otplate  zajmova</t>
  </si>
  <si>
    <t>NETO FINANCIRANJE</t>
  </si>
  <si>
    <t>VIŠAK/MANJAK + DONOS + ODNOS + NETO FINANCIRANJE</t>
  </si>
  <si>
    <t>Račun prihoda/primitaka</t>
  </si>
  <si>
    <t>NAZIV RAČUNA</t>
  </si>
  <si>
    <t>Tekući plan 2021.</t>
  </si>
  <si>
    <t>Indeks</t>
  </si>
  <si>
    <t>OPĆI DIO</t>
  </si>
  <si>
    <t>6=5/2*100</t>
  </si>
  <si>
    <t>Prihodi iz nadležnog  proračuna za  finaciranje rashoda poslovanja</t>
  </si>
  <si>
    <t>Prihodi iz nadležnog  proračuna za  finaciranje rashodaza nabavu nefinanacijske imovine</t>
  </si>
  <si>
    <t>Prihodi iz nadležnog proračuna i od HZZO-a temeljem ugovornih obveza</t>
  </si>
  <si>
    <t>Prihodi od prodaje proizvoda i roba te pruženih usluga i prihodi od donacija</t>
  </si>
  <si>
    <t>Prihodi od prodaje proizvoda i roba te pruženih usluga</t>
  </si>
  <si>
    <t>PRIHODI po posebnim propisima</t>
  </si>
  <si>
    <t>Sufinaciranje cijene usluge, participacije i slično</t>
  </si>
  <si>
    <t>Pomoći iz inozemstva i od subjekata unutar općeg proračuna</t>
  </si>
  <si>
    <t>Pomoći od izvanproračunskih korisnika</t>
  </si>
  <si>
    <t>Pomoći proračunskim korisnicima iz proračuna  koji im nije nadležan</t>
  </si>
  <si>
    <t>Pomoći  temeljem prijenosa EU sredstava</t>
  </si>
  <si>
    <t>UKUPNI PRIHODI + VIŠAK  KORIŠTEN ZA POKRIĆE RASHODA</t>
  </si>
  <si>
    <t xml:space="preserve">                    UKUPNI  PRIHODI</t>
  </si>
  <si>
    <t>Ostvarenje/izvršenje 2021.</t>
  </si>
  <si>
    <t>Rashodi za  zaposlene</t>
  </si>
  <si>
    <t>Plaće</t>
  </si>
  <si>
    <t>Plaće za redovan rad</t>
  </si>
  <si>
    <t>Ostali rashodi za zaposlene</t>
  </si>
  <si>
    <t>Doprinosi  na plaće</t>
  </si>
  <si>
    <t>Doprinosi za obvezno zdravstveno osiguranje</t>
  </si>
  <si>
    <t>Doprinosi  za obvezno osiguranje u slučaju nezaposlenosti</t>
  </si>
  <si>
    <t>Naknade troškova zaposlenima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</si>
  <si>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</si>
  <si>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</si>
  <si>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</si>
  <si>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</si>
  <si>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Stručno usavršavanje zaposemika</t>
  </si>
  <si>
    <t>Ostale naknade troškova  zaposlenima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</si>
  <si>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</si>
  <si>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</si>
  <si>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</si>
  <si>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</si>
  <si>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</si>
  <si>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</si>
  <si>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</si>
  <si>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tekučeg i investicijskog održavanja</t>
  </si>
  <si>
    <t>Usluge promidžbe i informiranja</t>
  </si>
  <si>
    <t>Komunalne usluge</t>
  </si>
  <si>
    <t>Zakupnine i ajamnine</t>
  </si>
  <si>
    <t>Zdravstvene i  veterinarske usluge</t>
  </si>
  <si>
    <t>Intelektualne i osobne usluge</t>
  </si>
  <si>
    <t>računalne usluge</t>
  </si>
  <si>
    <t>Ostale  usluge</t>
  </si>
  <si>
    <t>Naknade troškova osobama izvan radnog odnosa</t>
  </si>
  <si>
    <t>Ostali nespomenuti rashodi poslovanja</t>
  </si>
  <si>
    <t>Ostale slične naknde za rad</t>
  </si>
  <si>
    <t>Premije osiguranja</t>
  </si>
  <si>
    <t>Reprezentacija</t>
  </si>
  <si>
    <t>Članarine i norme</t>
  </si>
  <si>
    <t>Pristojbe i naknade</t>
  </si>
  <si>
    <t>Troškovi sudskih postupaka</t>
  </si>
  <si>
    <t>Financijski  rashodi</t>
  </si>
  <si>
    <t>Ostali financijski  rashodi</t>
  </si>
  <si>
    <t>Bankarske usluge i usluge platnog prometa</t>
  </si>
  <si>
    <t>zatezne kamate</t>
  </si>
  <si>
    <t>Ostali nespomenuti financijski rashodi</t>
  </si>
  <si>
    <t>Naknade građanima i kućanstvima u novcu-neposredno ili putem ustanova izvan javnog sektora</t>
  </si>
  <si>
    <t>Naknade građanima i kućanstvima u naravi</t>
  </si>
  <si>
    <t>Tekuće donacije</t>
  </si>
  <si>
    <t>Tekuće donacije u novcu</t>
  </si>
  <si>
    <t>Tekuće donacije u naravi</t>
  </si>
  <si>
    <t>Postrojenja i oprema</t>
  </si>
  <si>
    <t>Građevinski objekti</t>
  </si>
  <si>
    <t>Uredska oprema i namještaj</t>
  </si>
  <si>
    <t>Komunikacijska oprema</t>
  </si>
  <si>
    <t>Knjige, umjetnička djela i ostale izložbene vrijednosti</t>
  </si>
  <si>
    <t xml:space="preserve">Knjige  </t>
  </si>
  <si>
    <t>Rashodi za nabavu proizvedene dugotrajne imovine</t>
  </si>
  <si>
    <t>Ukupno:  Izvor  financiranja   Vlastiti prihodi</t>
  </si>
  <si>
    <t xml:space="preserve">                                                                          POSEBNI DIO</t>
  </si>
  <si>
    <t>Donos</t>
  </si>
  <si>
    <t>Donos vlastiti prihodi</t>
  </si>
  <si>
    <t>UKUPNO  Izvor  financiranja  VLASTITI PRIHODI   - DONOS</t>
  </si>
  <si>
    <t>SVEUKUPNO PRIHODI</t>
  </si>
  <si>
    <t>SVEUKUPNO PRIHODI + DONOS</t>
  </si>
  <si>
    <t>Materijalni rashodi</t>
  </si>
  <si>
    <t>UKUPNO:</t>
  </si>
  <si>
    <t>Donacije od pravnih i fizičkih osobaizvan općeg proračuna</t>
  </si>
  <si>
    <t>Ukupan donos neutrošenih prihoda iz predhodnih godina</t>
  </si>
  <si>
    <t>Ukupan odnos neutrošenih prihoda u slijedeću  godinu</t>
  </si>
  <si>
    <t>o</t>
  </si>
  <si>
    <t>Prijenos između proračunskih korisnika istog proračuna</t>
  </si>
  <si>
    <t>Prihod od financijske imovine</t>
  </si>
  <si>
    <t>Prihodi iz nadležnog  proračuna za  finaciranje rashoda za nabavu nefinanacijske imovine</t>
  </si>
  <si>
    <t>Prihodi od prodaje proizvedene dugotrajne imovine</t>
  </si>
  <si>
    <t>Prihodi od prodaje građevinskih objekata</t>
  </si>
  <si>
    <t>Ostale  naknadegrađanima i kućanstvima iz proračuna</t>
  </si>
  <si>
    <t>Naknade građanima i kućanstvima u novcu</t>
  </si>
  <si>
    <t xml:space="preserve">Ostali rashodi </t>
  </si>
  <si>
    <t>Izvori finaciranja  vlastiti prihodi - donos</t>
  </si>
  <si>
    <t>Pomoći proračunu iz drugih proračuna i izvanproračunskim korisnicima</t>
  </si>
  <si>
    <t>7=5/3*100</t>
  </si>
  <si>
    <t>Prihodi od  imovine</t>
  </si>
  <si>
    <t>5=4/3*1002</t>
  </si>
  <si>
    <t xml:space="preserve"> </t>
  </si>
  <si>
    <t>Zakupnine i  najamnine</t>
  </si>
  <si>
    <t xml:space="preserve">                                                           RASHODI I IZDACI</t>
  </si>
  <si>
    <t>Ostale naknade iz proračuna u novcu</t>
  </si>
  <si>
    <t>Naknade za  prijevoz na posao i s posla</t>
  </si>
  <si>
    <t>Uredski materijal i ostali malterijali</t>
  </si>
  <si>
    <t>materijal i sirovine</t>
  </si>
  <si>
    <t>ostale usluge</t>
  </si>
  <si>
    <t>Tekuće  donacije humanitarnim organizacijama</t>
  </si>
  <si>
    <t xml:space="preserve"> Ostale Naknade građanima i kućanstvima  iz proračuna</t>
  </si>
  <si>
    <t>Plaće za prekovremeni rad</t>
  </si>
  <si>
    <t>Plaće za posebne uvjete rada</t>
  </si>
  <si>
    <t>ostali nespomenuti rashodi poslovanja</t>
  </si>
  <si>
    <t>Naknade građenima i kućanstvima</t>
  </si>
  <si>
    <t>Ukupno:  Izvor  financiranja-  Opći prihodi i primici</t>
  </si>
  <si>
    <t>Ukupno:  Izvor  financiranja -  Prihodi za posebne namjene</t>
  </si>
  <si>
    <t>Ukupno:  Izvor  financiranja - POMOĆI</t>
  </si>
  <si>
    <t>GODIŠNJI IZVJEŠTAJ O  IZVRŠENJU FINACIJSKOG PLANA ZA 2022. GODINU</t>
  </si>
  <si>
    <t>Plan proračuna 2022.</t>
  </si>
  <si>
    <t>IZVRŠENJE    2022.</t>
  </si>
  <si>
    <t>Plan 2022.</t>
  </si>
  <si>
    <t>Ostvarenje/izvršenje 2022.</t>
  </si>
  <si>
    <t>prijenos između prorač.korisnika istog proračuna</t>
  </si>
  <si>
    <t>Pomoćiproračuni iz grigih proračuna i izvanpro.korisnika</t>
  </si>
  <si>
    <t>RASHODI POSLOVANJA</t>
  </si>
  <si>
    <t>Tekući plan 2022.</t>
  </si>
  <si>
    <t>2022. GODINE</t>
  </si>
  <si>
    <t>Ostvarenje/izvršenje 2022</t>
  </si>
  <si>
    <t xml:space="preserve"> Plan 2022.</t>
  </si>
  <si>
    <t>Ostale naknade građanima i kućanstvima iz proračuna</t>
  </si>
  <si>
    <t>Naknade građanima i kućanstvima i natavi-neposredno ili putem ustanova</t>
  </si>
  <si>
    <t>Naknade  građanima i kućanstvima u naravi</t>
  </si>
  <si>
    <t>Ostali poslovni građevinski objekti</t>
  </si>
  <si>
    <t>5=4/3*100</t>
  </si>
  <si>
    <t>IZVOR FINACIRANJA:  PRIHODI  POMOĆI   051,052</t>
  </si>
  <si>
    <t>IZVOR FINACIRANJA :  PRIHODI ZA POSEBNE NAMJENE 043</t>
  </si>
  <si>
    <t>IZVOR FINACIRANJA:  OPĆI PRIHODI I PRIMICI   011</t>
  </si>
  <si>
    <t>IZVOR FINACIRANJA:  VLASTITI PRIHODI 031, 061</t>
  </si>
  <si>
    <t>Ostale usluge</t>
  </si>
  <si>
    <t>Bankarske usluge i usl.patnog prometa</t>
  </si>
  <si>
    <t>Ostale naknade iz proračuna</t>
  </si>
  <si>
    <t>Izvori finaciranja : 1 Opći prihodi i primici 011</t>
  </si>
  <si>
    <t>Izvor financiranje:  VLASTITI PRIHODI 031,061</t>
  </si>
  <si>
    <t>Izvor finaciranja:  PRIHODI ZA POSEBNE NAMJENE 043</t>
  </si>
  <si>
    <t>Izvor finaciranja: POMOĆI 051, 052</t>
  </si>
  <si>
    <t>Finacijski rashodi</t>
  </si>
  <si>
    <t>ostale naknade građanima i kućanstvima</t>
  </si>
  <si>
    <t xml:space="preserve"> telefona,pošte i prijevoza</t>
  </si>
  <si>
    <t>Naknade građenima i kućanstvima u naravi</t>
  </si>
  <si>
    <t>Najamnine i zakupnine</t>
  </si>
  <si>
    <t xml:space="preserve">  </t>
  </si>
  <si>
    <t>l.  Osnovna škola Čakovec</t>
  </si>
  <si>
    <t>Račun rashoda</t>
  </si>
  <si>
    <t>6=5/3*100</t>
  </si>
  <si>
    <t>7=5/4*100</t>
  </si>
  <si>
    <t xml:space="preserve">                                                          l. OSNOVNA ŠKOLA ČAKOVEC</t>
  </si>
  <si>
    <t>IZVRŠENJE 2021.</t>
  </si>
  <si>
    <t>IZVJEŠTAJ  O IZVRŠENJU FINACIJSKOG PLANA ZA 2022.  - OPĆI DIO</t>
  </si>
  <si>
    <t xml:space="preserve">    IZVJEŠTAJ O IZVRŠENJU FINANCIJSKOG PLANA ZA 2022 GODINU  PO EKONOMSKOJ KLASIFIKACIJI</t>
  </si>
  <si>
    <t xml:space="preserve">    IZVJEŠTAJ O IZVRŠENJU FINANCIJSKOG PLANA ZA 2022 GODINU PO  PROGRAMSKOJ, EKONOMSKOJ KLASIFIKACIJI  I IZVORIMA FINANCIRANJA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</si>
</sst>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/>
    <xf numFmtId="0" fontId="0" fillId="0" borderId="0" xfId="0" applyFont="1"/>
    <xf numFmtId="0" fontId="0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Border="1" applyAlignme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wrapText="1"/>
    </xf>
    <xf numFmtId="43" fontId="3" fillId="0" borderId="1" xfId="1" applyFont="1" applyBorder="1" applyAlignment="1">
      <alignment horizontal="center"/>
    </xf>
    <xf numFmtId="43" fontId="3" fillId="0" borderId="0" xfId="1" applyFont="1"/>
    <xf numFmtId="43" fontId="6" fillId="0" borderId="1" xfId="1" applyFont="1" applyBorder="1" applyAlignment="1">
      <alignment horizontal="center" wrapText="1"/>
    </xf>
    <xf numFmtId="43" fontId="3" fillId="0" borderId="1" xfId="1" applyFont="1" applyBorder="1"/>
    <xf numFmtId="164" fontId="6" fillId="0" borderId="0" xfId="1" applyNumberFormat="1" applyFont="1" applyAlignment="1">
      <alignment horizontal="center"/>
    </xf>
    <xf numFmtId="164" fontId="3" fillId="0" borderId="0" xfId="1" applyNumberFormat="1" applyFont="1"/>
    <xf numFmtId="164" fontId="6" fillId="0" borderId="1" xfId="1" applyNumberFormat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/>
    <xf numFmtId="164" fontId="6" fillId="0" borderId="1" xfId="1" applyNumberFormat="1" applyFont="1" applyBorder="1"/>
    <xf numFmtId="164" fontId="2" fillId="0" borderId="0" xfId="1" applyNumberFormat="1" applyFont="1"/>
    <xf numFmtId="164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 wrapText="1"/>
    </xf>
    <xf numFmtId="164" fontId="1" fillId="0" borderId="1" xfId="1" applyNumberFormat="1" applyFont="1" applyBorder="1"/>
    <xf numFmtId="164" fontId="0" fillId="0" borderId="1" xfId="1" applyNumberFormat="1" applyFont="1" applyBorder="1"/>
    <xf numFmtId="164" fontId="0" fillId="0" borderId="0" xfId="1" applyNumberFormat="1" applyFont="1"/>
    <xf numFmtId="164" fontId="2" fillId="0" borderId="1" xfId="1" applyNumberFormat="1" applyFont="1" applyBorder="1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 applyBorder="1"/>
    <xf numFmtId="0" fontId="1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164" fontId="5" fillId="0" borderId="1" xfId="1" applyNumberFormat="1" applyFont="1" applyBorder="1"/>
    <xf numFmtId="43" fontId="7" fillId="0" borderId="1" xfId="1" applyFont="1" applyBorder="1"/>
    <xf numFmtId="164" fontId="0" fillId="0" borderId="0" xfId="0" applyNumberFormat="1"/>
    <xf numFmtId="43" fontId="6" fillId="0" borderId="1" xfId="1" applyFont="1" applyBorder="1"/>
    <xf numFmtId="164" fontId="6" fillId="0" borderId="1" xfId="1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164" fontId="1" fillId="0" borderId="2" xfId="1" applyNumberFormat="1" applyFont="1" applyBorder="1" applyAlignment="1">
      <alignment horizontal="center" wrapText="1"/>
    </xf>
    <xf numFmtId="164" fontId="0" fillId="0" borderId="3" xfId="1" applyNumberFormat="1" applyFont="1" applyBorder="1"/>
    <xf numFmtId="164" fontId="0" fillId="0" borderId="0" xfId="0" applyNumberFormat="1" applyBorder="1"/>
    <xf numFmtId="0" fontId="1" fillId="0" borderId="1" xfId="0" applyFont="1" applyFill="1" applyBorder="1" applyAlignment="1">
      <alignment wrapText="1"/>
    </xf>
    <xf numFmtId="164" fontId="1" fillId="0" borderId="0" xfId="1" applyNumberFormat="1" applyFont="1" applyBorder="1"/>
    <xf numFmtId="164" fontId="1" fillId="0" borderId="3" xfId="1" applyNumberFormat="1" applyFont="1" applyBorder="1"/>
    <xf numFmtId="164" fontId="1" fillId="0" borderId="0" xfId="0" applyNumberFormat="1" applyFont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C17" sqref="C17"/>
    </sheetView>
  </sheetViews>
  <sheetFormatPr defaultRowHeight="15" x14ac:dyDescent="0.25"/>
  <cols>
    <col min="1" max="1" width="21.85546875" customWidth="1"/>
    <col min="2" max="2" width="21.85546875" style="44" customWidth="1"/>
    <col min="3" max="3" width="17.85546875" style="44" customWidth="1"/>
    <col min="4" max="4" width="18.85546875" style="44" customWidth="1"/>
  </cols>
  <sheetData>
    <row r="1" spans="1:4" ht="15.75" x14ac:dyDescent="0.25">
      <c r="A1" s="1" t="s">
        <v>168</v>
      </c>
    </row>
    <row r="3" spans="1:4" ht="15.75" x14ac:dyDescent="0.25">
      <c r="A3" s="1" t="s">
        <v>134</v>
      </c>
      <c r="B3" s="39"/>
      <c r="C3" s="39"/>
      <c r="D3" s="39"/>
    </row>
    <row r="4" spans="1:4" ht="15.75" x14ac:dyDescent="0.25">
      <c r="A4" s="1"/>
      <c r="B4" s="39"/>
      <c r="C4" s="39"/>
      <c r="D4" s="39"/>
    </row>
    <row r="5" spans="1:4" ht="15.75" x14ac:dyDescent="0.25">
      <c r="A5" s="1" t="s">
        <v>174</v>
      </c>
      <c r="B5" s="39"/>
      <c r="C5" s="39"/>
      <c r="D5" s="39"/>
    </row>
    <row r="7" spans="1:4" ht="30" x14ac:dyDescent="0.25">
      <c r="A7" s="3" t="s">
        <v>0</v>
      </c>
      <c r="B7" s="40" t="s">
        <v>173</v>
      </c>
      <c r="C7" s="41" t="s">
        <v>135</v>
      </c>
      <c r="D7" s="41" t="s">
        <v>136</v>
      </c>
    </row>
    <row r="8" spans="1:4" ht="25.5" customHeight="1" x14ac:dyDescent="0.25">
      <c r="A8" s="7" t="s">
        <v>1</v>
      </c>
      <c r="B8" s="42">
        <f t="shared" ref="B8" si="0">SUM(B9:B10)</f>
        <v>15058499</v>
      </c>
      <c r="C8" s="42">
        <f t="shared" ref="C8:D8" si="1">SUM(C9:C10)</f>
        <v>16989919.920000002</v>
      </c>
      <c r="D8" s="42">
        <f t="shared" si="1"/>
        <v>17413694.050000001</v>
      </c>
    </row>
    <row r="9" spans="1:4" ht="25.5" customHeight="1" x14ac:dyDescent="0.25">
      <c r="A9" s="5" t="s">
        <v>2</v>
      </c>
      <c r="B9" s="43">
        <v>15058189</v>
      </c>
      <c r="C9" s="43">
        <v>16989919.920000002</v>
      </c>
      <c r="D9" s="43">
        <v>17413694.050000001</v>
      </c>
    </row>
    <row r="10" spans="1:4" ht="30" x14ac:dyDescent="0.25">
      <c r="A10" s="6" t="s">
        <v>3</v>
      </c>
      <c r="B10" s="43">
        <v>310</v>
      </c>
      <c r="C10" s="43">
        <v>0</v>
      </c>
      <c r="D10" s="43">
        <v>0</v>
      </c>
    </row>
    <row r="11" spans="1:4" ht="27" customHeight="1" x14ac:dyDescent="0.25">
      <c r="A11" s="7" t="s">
        <v>4</v>
      </c>
      <c r="B11" s="43">
        <v>15063665</v>
      </c>
      <c r="C11" s="43">
        <v>16989919.920000002</v>
      </c>
      <c r="D11" s="43">
        <v>17422992</v>
      </c>
    </row>
    <row r="12" spans="1:4" ht="29.25" customHeight="1" x14ac:dyDescent="0.25">
      <c r="A12" s="5" t="s">
        <v>5</v>
      </c>
      <c r="B12" s="43">
        <v>14861770</v>
      </c>
      <c r="C12" s="43">
        <f>16989920-262816</f>
        <v>16727104</v>
      </c>
      <c r="D12" s="43">
        <f>17422923-440833.9</f>
        <v>16982089.100000001</v>
      </c>
    </row>
    <row r="13" spans="1:4" ht="30" x14ac:dyDescent="0.25">
      <c r="A13" s="6" t="s">
        <v>6</v>
      </c>
      <c r="B13" s="43">
        <v>201895</v>
      </c>
      <c r="C13" s="43">
        <v>262816</v>
      </c>
      <c r="D13" s="43">
        <v>440833.9</v>
      </c>
    </row>
    <row r="14" spans="1:4" ht="30" x14ac:dyDescent="0.25">
      <c r="A14" s="8" t="s">
        <v>7</v>
      </c>
      <c r="B14" s="43">
        <v>-5166</v>
      </c>
      <c r="C14" s="43"/>
      <c r="D14" s="43">
        <v>-9298.77</v>
      </c>
    </row>
    <row r="16" spans="1:4" ht="32.25" customHeight="1" x14ac:dyDescent="0.25">
      <c r="A16" s="2" t="s">
        <v>11</v>
      </c>
      <c r="B16" s="41" t="s">
        <v>10</v>
      </c>
      <c r="C16" s="41" t="s">
        <v>135</v>
      </c>
      <c r="D16" s="41" t="s">
        <v>136</v>
      </c>
    </row>
    <row r="17" spans="1:4" ht="45" x14ac:dyDescent="0.25">
      <c r="A17" s="4" t="s">
        <v>101</v>
      </c>
      <c r="B17" s="43">
        <v>174869</v>
      </c>
      <c r="C17" s="43">
        <v>169703.92</v>
      </c>
      <c r="D17" s="43">
        <v>169704</v>
      </c>
    </row>
    <row r="18" spans="1:4" ht="45" x14ac:dyDescent="0.25">
      <c r="A18" s="6" t="s">
        <v>102</v>
      </c>
      <c r="B18" s="43">
        <v>169703</v>
      </c>
      <c r="C18" s="43">
        <v>0</v>
      </c>
      <c r="D18" s="43">
        <v>160405</v>
      </c>
    </row>
    <row r="20" spans="1:4" ht="30" hidden="1" x14ac:dyDescent="0.25">
      <c r="A20" s="7" t="s">
        <v>12</v>
      </c>
      <c r="B20" s="40" t="s">
        <v>9</v>
      </c>
      <c r="C20" s="41" t="s">
        <v>8</v>
      </c>
      <c r="D20" s="41" t="s">
        <v>10</v>
      </c>
    </row>
    <row r="21" spans="1:4" ht="30" hidden="1" x14ac:dyDescent="0.25">
      <c r="A21" s="6" t="s">
        <v>13</v>
      </c>
      <c r="B21" s="43"/>
      <c r="C21" s="43"/>
      <c r="D21" s="43"/>
    </row>
    <row r="22" spans="1:4" ht="45" hidden="1" x14ac:dyDescent="0.25">
      <c r="A22" s="6" t="s">
        <v>14</v>
      </c>
      <c r="B22" s="43"/>
      <c r="C22" s="43"/>
      <c r="D22" s="43"/>
    </row>
    <row r="23" spans="1:4" ht="24" hidden="1" customHeight="1" x14ac:dyDescent="0.25">
      <c r="A23" s="9" t="s">
        <v>15</v>
      </c>
      <c r="B23" s="43"/>
      <c r="C23" s="43"/>
      <c r="D23" s="43"/>
    </row>
    <row r="25" spans="1:4" ht="45" x14ac:dyDescent="0.25">
      <c r="A25" s="9" t="s">
        <v>16</v>
      </c>
      <c r="B25" s="43" t="s">
        <v>103</v>
      </c>
      <c r="C25" s="43" t="s">
        <v>103</v>
      </c>
      <c r="D25" s="43" t="s">
        <v>103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workbookViewId="0">
      <selection activeCell="A2" sqref="A2"/>
    </sheetView>
  </sheetViews>
  <sheetFormatPr defaultRowHeight="15" x14ac:dyDescent="0.25"/>
  <cols>
    <col min="1" max="1" width="10.85546875" style="10" customWidth="1"/>
    <col min="2" max="2" width="40" customWidth="1"/>
    <col min="3" max="3" width="14.85546875" style="34" customWidth="1"/>
    <col min="4" max="4" width="16.42578125" style="34" customWidth="1"/>
    <col min="5" max="5" width="12.28515625" style="34" hidden="1" customWidth="1"/>
    <col min="6" max="6" width="15.42578125" style="34" customWidth="1"/>
    <col min="7" max="7" width="11.28515625" style="30" customWidth="1"/>
    <col min="8" max="8" width="11.85546875" style="30" customWidth="1"/>
  </cols>
  <sheetData>
    <row r="1" spans="1:8" ht="24.75" customHeight="1" x14ac:dyDescent="0.25">
      <c r="A1" s="11"/>
      <c r="C1" s="33" t="s">
        <v>21</v>
      </c>
    </row>
    <row r="2" spans="1:8" ht="24.75" customHeight="1" x14ac:dyDescent="0.25">
      <c r="A2" s="12" t="s">
        <v>175</v>
      </c>
    </row>
    <row r="4" spans="1:8" ht="54" customHeight="1" x14ac:dyDescent="0.25">
      <c r="A4" s="3" t="s">
        <v>17</v>
      </c>
      <c r="B4" s="2" t="s">
        <v>18</v>
      </c>
      <c r="C4" s="35" t="s">
        <v>36</v>
      </c>
      <c r="D4" s="35" t="s">
        <v>137</v>
      </c>
      <c r="E4" s="35" t="s">
        <v>19</v>
      </c>
      <c r="F4" s="35" t="s">
        <v>138</v>
      </c>
      <c r="G4" s="31" t="s">
        <v>20</v>
      </c>
      <c r="H4" s="31" t="s">
        <v>20</v>
      </c>
    </row>
    <row r="5" spans="1:8" x14ac:dyDescent="0.25">
      <c r="A5" s="13">
        <v>1</v>
      </c>
      <c r="B5" s="14">
        <v>2</v>
      </c>
      <c r="C5" s="36">
        <v>3</v>
      </c>
      <c r="D5" s="36">
        <v>4</v>
      </c>
      <c r="E5" s="36">
        <v>4</v>
      </c>
      <c r="F5" s="36">
        <v>5</v>
      </c>
      <c r="G5" s="29" t="s">
        <v>170</v>
      </c>
      <c r="H5" s="29" t="s">
        <v>171</v>
      </c>
    </row>
    <row r="6" spans="1:8" s="19" customFormat="1" ht="30" x14ac:dyDescent="0.25">
      <c r="A6" s="20">
        <v>67</v>
      </c>
      <c r="B6" s="15" t="s">
        <v>25</v>
      </c>
      <c r="C6" s="38">
        <v>1560468</v>
      </c>
      <c r="D6" s="38">
        <v>1877786</v>
      </c>
      <c r="E6" s="38"/>
      <c r="F6" s="38">
        <v>2004383.81</v>
      </c>
      <c r="G6" s="54">
        <f>F6/C6*100</f>
        <v>128.44760738445135</v>
      </c>
      <c r="H6" s="54">
        <f>F6/D6*100</f>
        <v>106.74186568650528</v>
      </c>
    </row>
    <row r="7" spans="1:8" ht="30" x14ac:dyDescent="0.25">
      <c r="A7" s="13">
        <v>6711</v>
      </c>
      <c r="B7" s="6" t="s">
        <v>23</v>
      </c>
      <c r="C7" s="37">
        <v>1560468</v>
      </c>
      <c r="D7" s="37">
        <f>41988.3+1835797.28</f>
        <v>1877785.58</v>
      </c>
      <c r="E7" s="37"/>
      <c r="F7" s="37">
        <v>2004383.81</v>
      </c>
      <c r="G7" s="32">
        <f t="shared" ref="G7:G24" si="0">F7/C7*100</f>
        <v>128.44760738445135</v>
      </c>
      <c r="H7" s="32">
        <f t="shared" ref="H7:H24" si="1">F7/D7*100</f>
        <v>106.74188956121391</v>
      </c>
    </row>
    <row r="8" spans="1:8" ht="42" customHeight="1" x14ac:dyDescent="0.25">
      <c r="A8" s="13">
        <v>6712</v>
      </c>
      <c r="B8" s="6" t="s">
        <v>106</v>
      </c>
      <c r="C8" s="37"/>
      <c r="D8" s="37"/>
      <c r="E8" s="37"/>
      <c r="F8" s="37"/>
      <c r="G8" s="32"/>
      <c r="H8" s="32"/>
    </row>
    <row r="9" spans="1:8" ht="30" x14ac:dyDescent="0.25">
      <c r="A9" s="3">
        <v>66</v>
      </c>
      <c r="B9" s="8" t="s">
        <v>26</v>
      </c>
      <c r="C9" s="38">
        <v>43160</v>
      </c>
      <c r="D9" s="38">
        <v>110000</v>
      </c>
      <c r="E9" s="38"/>
      <c r="F9" s="38">
        <v>174725</v>
      </c>
      <c r="G9" s="54">
        <f t="shared" si="0"/>
        <v>404.83086190917516</v>
      </c>
      <c r="H9" s="54">
        <f t="shared" si="1"/>
        <v>158.84090909090909</v>
      </c>
    </row>
    <row r="10" spans="1:8" ht="30" x14ac:dyDescent="0.25">
      <c r="A10" s="13">
        <v>661</v>
      </c>
      <c r="B10" s="15" t="s">
        <v>27</v>
      </c>
      <c r="C10" s="37">
        <v>21009</v>
      </c>
      <c r="D10" s="37">
        <v>80000</v>
      </c>
      <c r="E10" s="37"/>
      <c r="F10" s="37">
        <v>75050</v>
      </c>
      <c r="G10" s="32">
        <f t="shared" si="0"/>
        <v>357.22785472892571</v>
      </c>
      <c r="H10" s="32">
        <f t="shared" si="1"/>
        <v>93.8125</v>
      </c>
    </row>
    <row r="11" spans="1:8" ht="30" x14ac:dyDescent="0.25">
      <c r="A11" s="13">
        <v>663</v>
      </c>
      <c r="B11" s="15" t="s">
        <v>100</v>
      </c>
      <c r="C11" s="37">
        <v>22151</v>
      </c>
      <c r="D11" s="37">
        <v>30000</v>
      </c>
      <c r="E11" s="37"/>
      <c r="F11" s="37">
        <v>99675</v>
      </c>
      <c r="G11" s="32">
        <f t="shared" si="0"/>
        <v>449.97968489007263</v>
      </c>
      <c r="H11" s="32">
        <f t="shared" si="1"/>
        <v>332.25</v>
      </c>
    </row>
    <row r="12" spans="1:8" x14ac:dyDescent="0.25">
      <c r="A12" s="3">
        <v>652</v>
      </c>
      <c r="B12" s="8" t="s">
        <v>28</v>
      </c>
      <c r="C12" s="38">
        <v>736063</v>
      </c>
      <c r="D12" s="38">
        <v>674755</v>
      </c>
      <c r="E12" s="38"/>
      <c r="F12" s="38">
        <v>775379</v>
      </c>
      <c r="G12" s="54">
        <f t="shared" si="0"/>
        <v>105.34139061466206</v>
      </c>
      <c r="H12" s="54">
        <f t="shared" si="1"/>
        <v>114.91267200687656</v>
      </c>
    </row>
    <row r="13" spans="1:8" ht="30" x14ac:dyDescent="0.25">
      <c r="A13" s="13">
        <v>65264</v>
      </c>
      <c r="B13" s="15" t="s">
        <v>29</v>
      </c>
      <c r="C13" s="37">
        <v>736063</v>
      </c>
      <c r="D13" s="37">
        <v>674755</v>
      </c>
      <c r="E13" s="37"/>
      <c r="F13" s="37">
        <v>775378.85</v>
      </c>
      <c r="G13" s="32">
        <f t="shared" si="0"/>
        <v>105.34137023597165</v>
      </c>
      <c r="H13" s="32">
        <f t="shared" si="1"/>
        <v>114.91264977658557</v>
      </c>
    </row>
    <row r="14" spans="1:8" ht="30" x14ac:dyDescent="0.25">
      <c r="A14" s="3">
        <v>63</v>
      </c>
      <c r="B14" s="8" t="s">
        <v>30</v>
      </c>
      <c r="C14" s="38">
        <v>12718481</v>
      </c>
      <c r="D14" s="38">
        <f>SUM(D15:D19)</f>
        <v>14157675.27</v>
      </c>
      <c r="E14" s="38"/>
      <c r="F14" s="38">
        <v>14459192.93</v>
      </c>
      <c r="G14" s="54">
        <f t="shared" si="0"/>
        <v>113.68647663191854</v>
      </c>
      <c r="H14" s="54">
        <f t="shared" si="1"/>
        <v>102.12971165286517</v>
      </c>
    </row>
    <row r="15" spans="1:8" ht="30" x14ac:dyDescent="0.25">
      <c r="A15" s="20">
        <v>633</v>
      </c>
      <c r="B15" s="15" t="s">
        <v>113</v>
      </c>
      <c r="C15" s="37"/>
      <c r="D15" s="37">
        <f>35727.28+26010</f>
        <v>61737.279999999999</v>
      </c>
      <c r="E15" s="37"/>
      <c r="F15" s="37">
        <v>36108.870000000003</v>
      </c>
      <c r="G15" s="32"/>
      <c r="H15" s="54">
        <f t="shared" si="1"/>
        <v>58.487950878302385</v>
      </c>
    </row>
    <row r="16" spans="1:8" ht="23.25" customHeight="1" x14ac:dyDescent="0.25">
      <c r="A16" s="13">
        <v>634</v>
      </c>
      <c r="B16" s="15" t="s">
        <v>31</v>
      </c>
      <c r="C16" s="37">
        <v>1922</v>
      </c>
      <c r="D16" s="37"/>
      <c r="E16" s="37"/>
      <c r="F16" s="37">
        <v>0</v>
      </c>
      <c r="G16" s="32"/>
      <c r="H16" s="32"/>
    </row>
    <row r="17" spans="1:8" ht="30" x14ac:dyDescent="0.25">
      <c r="A17" s="13">
        <v>636</v>
      </c>
      <c r="B17" s="15" t="s">
        <v>32</v>
      </c>
      <c r="C17" s="37">
        <v>12055199</v>
      </c>
      <c r="D17" s="37">
        <v>12965022</v>
      </c>
      <c r="E17" s="37"/>
      <c r="F17" s="37">
        <v>12055199</v>
      </c>
      <c r="G17" s="32">
        <f t="shared" si="0"/>
        <v>100</v>
      </c>
      <c r="H17" s="32">
        <f t="shared" si="1"/>
        <v>92.9824800914337</v>
      </c>
    </row>
    <row r="18" spans="1:8" ht="21.75" customHeight="1" x14ac:dyDescent="0.25">
      <c r="A18" s="13">
        <v>638</v>
      </c>
      <c r="B18" s="15" t="s">
        <v>33</v>
      </c>
      <c r="C18" s="37">
        <v>661361</v>
      </c>
      <c r="D18" s="37">
        <f>716500+202413+147392</f>
        <v>1066305</v>
      </c>
      <c r="E18" s="37"/>
      <c r="F18" s="37">
        <v>661361</v>
      </c>
      <c r="G18" s="32">
        <f t="shared" si="0"/>
        <v>100</v>
      </c>
      <c r="H18" s="32">
        <f t="shared" si="1"/>
        <v>62.0236236348887</v>
      </c>
    </row>
    <row r="19" spans="1:8" ht="28.5" customHeight="1" x14ac:dyDescent="0.25">
      <c r="A19" s="13">
        <v>639</v>
      </c>
      <c r="B19" s="15" t="s">
        <v>104</v>
      </c>
      <c r="C19" s="37">
        <v>0</v>
      </c>
      <c r="D19" s="37">
        <v>64610.99</v>
      </c>
      <c r="E19" s="37"/>
      <c r="F19" s="37">
        <v>74510.990000000005</v>
      </c>
      <c r="G19" s="32"/>
      <c r="H19" s="32">
        <f t="shared" si="1"/>
        <v>115.32247068184532</v>
      </c>
    </row>
    <row r="20" spans="1:8" ht="21.75" customHeight="1" x14ac:dyDescent="0.25">
      <c r="A20" s="3">
        <v>641</v>
      </c>
      <c r="B20" s="8" t="s">
        <v>105</v>
      </c>
      <c r="C20" s="38">
        <v>16</v>
      </c>
      <c r="D20" s="38">
        <v>0</v>
      </c>
      <c r="E20" s="38"/>
      <c r="F20" s="38">
        <v>13.46</v>
      </c>
      <c r="G20" s="54">
        <f t="shared" si="0"/>
        <v>84.125</v>
      </c>
      <c r="H20" s="54"/>
    </row>
    <row r="21" spans="1:8" ht="27.75" customHeight="1" x14ac:dyDescent="0.25">
      <c r="A21" s="13">
        <v>72</v>
      </c>
      <c r="B21" s="15" t="s">
        <v>107</v>
      </c>
      <c r="C21" s="37"/>
      <c r="D21" s="37">
        <v>0</v>
      </c>
      <c r="E21" s="37"/>
      <c r="F21" s="37"/>
      <c r="G21" s="32"/>
      <c r="H21" s="32"/>
    </row>
    <row r="22" spans="1:8" ht="21.75" customHeight="1" x14ac:dyDescent="0.25">
      <c r="A22" s="13">
        <v>721</v>
      </c>
      <c r="B22" s="15" t="s">
        <v>108</v>
      </c>
      <c r="C22" s="37">
        <v>310</v>
      </c>
      <c r="D22" s="37">
        <v>0</v>
      </c>
      <c r="E22" s="37"/>
      <c r="F22" s="37">
        <v>0</v>
      </c>
      <c r="G22" s="32">
        <f t="shared" si="0"/>
        <v>0</v>
      </c>
      <c r="H22" s="32"/>
    </row>
    <row r="23" spans="1:8" ht="19.5" customHeight="1" x14ac:dyDescent="0.25">
      <c r="A23" s="16" t="s">
        <v>35</v>
      </c>
      <c r="B23" s="5"/>
      <c r="C23" s="37">
        <v>15058499</v>
      </c>
      <c r="D23" s="37">
        <f>16989919.92-169703.92453733</f>
        <v>16820215.995462671</v>
      </c>
      <c r="E23" s="37"/>
      <c r="F23" s="37">
        <v>17413694.050000001</v>
      </c>
      <c r="G23" s="32">
        <f t="shared" si="0"/>
        <v>115.64030418968052</v>
      </c>
      <c r="H23" s="32">
        <f t="shared" si="1"/>
        <v>103.52836167322359</v>
      </c>
    </row>
    <row r="24" spans="1:8" ht="36.75" customHeight="1" x14ac:dyDescent="0.25">
      <c r="A24" s="23"/>
      <c r="B24" s="56" t="s">
        <v>34</v>
      </c>
      <c r="C24" s="38">
        <f>15058499+5166</f>
        <v>15063665</v>
      </c>
      <c r="D24" s="38">
        <v>16989919.920000002</v>
      </c>
      <c r="E24" s="38"/>
      <c r="F24" s="38">
        <f>F23+9298.77</f>
        <v>17422992.82</v>
      </c>
      <c r="G24" s="54">
        <f t="shared" si="0"/>
        <v>115.66237578968996</v>
      </c>
      <c r="H24" s="54">
        <f t="shared" si="1"/>
        <v>102.54899906555886</v>
      </c>
    </row>
    <row r="27" spans="1:8" ht="39" x14ac:dyDescent="0.25">
      <c r="A27" s="3" t="s">
        <v>169</v>
      </c>
      <c r="B27" s="2" t="s">
        <v>18</v>
      </c>
      <c r="C27" s="35" t="s">
        <v>36</v>
      </c>
      <c r="D27" s="35" t="s">
        <v>137</v>
      </c>
      <c r="E27" s="35" t="s">
        <v>19</v>
      </c>
      <c r="F27" s="35" t="s">
        <v>36</v>
      </c>
      <c r="G27" s="31" t="s">
        <v>20</v>
      </c>
      <c r="H27" s="31" t="s">
        <v>20</v>
      </c>
    </row>
    <row r="28" spans="1:8" x14ac:dyDescent="0.25">
      <c r="A28" s="13"/>
      <c r="B28" s="14">
        <v>1</v>
      </c>
      <c r="C28" s="36">
        <v>5</v>
      </c>
      <c r="D28" s="36">
        <v>3</v>
      </c>
      <c r="E28" s="36">
        <v>4</v>
      </c>
      <c r="F28" s="36">
        <v>5</v>
      </c>
      <c r="G28" s="29" t="s">
        <v>22</v>
      </c>
      <c r="H28" s="29" t="s">
        <v>114</v>
      </c>
    </row>
    <row r="29" spans="1:8" x14ac:dyDescent="0.25">
      <c r="A29" s="13">
        <v>3</v>
      </c>
      <c r="B29" s="14" t="s">
        <v>141</v>
      </c>
      <c r="C29" s="55">
        <v>14861770</v>
      </c>
      <c r="D29" s="55">
        <v>16989919.920000002</v>
      </c>
      <c r="E29" s="55"/>
      <c r="F29" s="55">
        <v>16982159</v>
      </c>
      <c r="G29" s="54">
        <f t="shared" ref="G29" si="2">F29/C29*100</f>
        <v>114.26740556474768</v>
      </c>
      <c r="H29" s="54">
        <f t="shared" ref="H29" si="3">F29/D29*100</f>
        <v>99.954320443907065</v>
      </c>
    </row>
    <row r="30" spans="1:8" s="18" customFormat="1" x14ac:dyDescent="0.25">
      <c r="A30" s="3">
        <v>31</v>
      </c>
      <c r="B30" s="7" t="s">
        <v>37</v>
      </c>
      <c r="C30" s="38">
        <v>12031503</v>
      </c>
      <c r="D30" s="38">
        <f>D31+D33+D35</f>
        <v>11933012.932329999</v>
      </c>
      <c r="E30" s="38"/>
      <c r="F30" s="38">
        <v>13330726</v>
      </c>
      <c r="G30" s="32">
        <f t="shared" ref="G30:G89" si="4">F30/C30*100</f>
        <v>110.79850954614732</v>
      </c>
      <c r="H30" s="32">
        <f t="shared" ref="H30:H88" si="5">F30/D30*100</f>
        <v>111.71299382307036</v>
      </c>
    </row>
    <row r="31" spans="1:8" s="18" customFormat="1" x14ac:dyDescent="0.25">
      <c r="A31" s="3">
        <v>311</v>
      </c>
      <c r="B31" s="7" t="s">
        <v>38</v>
      </c>
      <c r="C31" s="38">
        <v>9977742</v>
      </c>
      <c r="D31" s="38">
        <f>9556975+120000+65000</f>
        <v>9741975</v>
      </c>
      <c r="E31" s="38"/>
      <c r="F31" s="38">
        <v>10681207</v>
      </c>
      <c r="G31" s="32">
        <f t="shared" si="4"/>
        <v>107.05034265267632</v>
      </c>
      <c r="H31" s="32">
        <f t="shared" si="5"/>
        <v>109.64108407176163</v>
      </c>
    </row>
    <row r="32" spans="1:8" x14ac:dyDescent="0.25">
      <c r="A32" s="13">
        <v>3111</v>
      </c>
      <c r="B32" s="5" t="s">
        <v>39</v>
      </c>
      <c r="C32" s="37">
        <v>9763434</v>
      </c>
      <c r="D32" s="37">
        <f>425000+75000+99394+61722+17539.98+9800000+10890+20635.4</f>
        <v>10510181.380000001</v>
      </c>
      <c r="E32" s="37"/>
      <c r="F32" s="37">
        <v>10681206.789999999</v>
      </c>
      <c r="G32" s="32">
        <f t="shared" si="4"/>
        <v>109.40010236152567</v>
      </c>
      <c r="H32" s="32">
        <f t="shared" si="5"/>
        <v>101.62723557107631</v>
      </c>
    </row>
    <row r="33" spans="1:8" s="18" customFormat="1" x14ac:dyDescent="0.25">
      <c r="A33" s="3">
        <v>312</v>
      </c>
      <c r="B33" s="7" t="s">
        <v>40</v>
      </c>
      <c r="C33" s="38">
        <v>405538</v>
      </c>
      <c r="D33" s="38">
        <v>387000</v>
      </c>
      <c r="E33" s="38"/>
      <c r="F33" s="38">
        <v>486057.12</v>
      </c>
      <c r="G33" s="32">
        <f t="shared" si="4"/>
        <v>119.85488906095112</v>
      </c>
      <c r="H33" s="32">
        <f t="shared" si="5"/>
        <v>125.59615503875969</v>
      </c>
    </row>
    <row r="34" spans="1:8" x14ac:dyDescent="0.25">
      <c r="A34" s="13">
        <v>3121</v>
      </c>
      <c r="B34" s="5" t="s">
        <v>40</v>
      </c>
      <c r="C34" s="37">
        <v>405538</v>
      </c>
      <c r="D34" s="37">
        <f>637.5+18000+11000+3070.63+2709+541.87+350000+478.5+562.5</f>
        <v>387000</v>
      </c>
      <c r="E34" s="37"/>
      <c r="F34" s="37">
        <v>486057.12</v>
      </c>
      <c r="G34" s="32">
        <f t="shared" si="4"/>
        <v>119.85488906095112</v>
      </c>
      <c r="H34" s="32">
        <f t="shared" si="5"/>
        <v>125.59615503875969</v>
      </c>
    </row>
    <row r="35" spans="1:8" x14ac:dyDescent="0.25">
      <c r="A35" s="3">
        <v>313</v>
      </c>
      <c r="B35" s="7" t="s">
        <v>41</v>
      </c>
      <c r="C35" s="38">
        <v>1648223</v>
      </c>
      <c r="D35" s="38">
        <f>SUM(D36:D37)</f>
        <v>1804037.93233</v>
      </c>
      <c r="E35" s="38"/>
      <c r="F35" s="38">
        <v>1826004.93</v>
      </c>
      <c r="G35" s="54">
        <f t="shared" si="4"/>
        <v>110.78627891978211</v>
      </c>
      <c r="H35" s="54">
        <f t="shared" si="5"/>
        <v>101.21765719424916</v>
      </c>
    </row>
    <row r="36" spans="1:8" ht="30" x14ac:dyDescent="0.25">
      <c r="A36" s="13">
        <v>3132</v>
      </c>
      <c r="B36" s="6" t="s">
        <v>42</v>
      </c>
      <c r="C36" s="37">
        <v>1647830</v>
      </c>
      <c r="D36" s="37">
        <f>16421.67+10185+83000+3409.34+2113.5+2913.48+2867.94233+1797+1679000</f>
        <v>1801707.93233</v>
      </c>
      <c r="E36" s="37"/>
      <c r="F36" s="37">
        <v>1823675.47</v>
      </c>
      <c r="G36" s="32">
        <f t="shared" si="4"/>
        <v>110.67133563535074</v>
      </c>
      <c r="H36" s="32">
        <f t="shared" si="5"/>
        <v>101.21926186124912</v>
      </c>
    </row>
    <row r="37" spans="1:8" ht="30" x14ac:dyDescent="0.25">
      <c r="A37" s="13">
        <v>3133</v>
      </c>
      <c r="B37" s="6" t="s">
        <v>43</v>
      </c>
      <c r="C37" s="37">
        <v>393</v>
      </c>
      <c r="D37" s="37">
        <v>2330</v>
      </c>
      <c r="E37" s="37"/>
      <c r="F37" s="37">
        <v>2329.46</v>
      </c>
      <c r="G37" s="32">
        <f t="shared" si="4"/>
        <v>592.73791348600514</v>
      </c>
      <c r="H37" s="32">
        <f t="shared" si="5"/>
        <v>99.976824034334768</v>
      </c>
    </row>
    <row r="38" spans="1:8" s="18" customFormat="1" x14ac:dyDescent="0.25">
      <c r="A38" s="3">
        <v>32</v>
      </c>
      <c r="B38" s="7" t="s">
        <v>98</v>
      </c>
      <c r="C38" s="38">
        <v>2396410</v>
      </c>
      <c r="D38" s="38"/>
      <c r="E38" s="38"/>
      <c r="F38" s="38">
        <v>3220753.69</v>
      </c>
      <c r="G38" s="32">
        <f t="shared" si="4"/>
        <v>134.39910908400483</v>
      </c>
      <c r="H38" s="32"/>
    </row>
    <row r="39" spans="1:8" s="18" customFormat="1" x14ac:dyDescent="0.25">
      <c r="A39" s="3">
        <v>321</v>
      </c>
      <c r="B39" s="7" t="s">
        <v>44</v>
      </c>
      <c r="C39" s="38">
        <v>415282</v>
      </c>
      <c r="D39" s="38">
        <f>SUM(D40:D43)</f>
        <v>413295</v>
      </c>
      <c r="E39" s="38"/>
      <c r="F39" s="38">
        <v>666386.18000000005</v>
      </c>
      <c r="G39" s="32">
        <f t="shared" si="4"/>
        <v>160.46594362385079</v>
      </c>
      <c r="H39" s="32">
        <f t="shared" si="5"/>
        <v>161.23741637329269</v>
      </c>
    </row>
    <row r="40" spans="1:8" x14ac:dyDescent="0.25">
      <c r="A40" s="13">
        <v>3211</v>
      </c>
      <c r="B40" s="5" t="s">
        <v>45</v>
      </c>
      <c r="C40" s="37">
        <v>82647</v>
      </c>
      <c r="D40" s="37">
        <f>15000+100000</f>
        <v>115000</v>
      </c>
      <c r="E40" s="37"/>
      <c r="F40" s="37">
        <v>244908.65</v>
      </c>
      <c r="G40" s="32">
        <f t="shared" si="4"/>
        <v>296.33096180139631</v>
      </c>
      <c r="H40" s="32">
        <f t="shared" si="5"/>
        <v>212.96404347826089</v>
      </c>
    </row>
    <row r="41" spans="1:8" ht="30" x14ac:dyDescent="0.25">
      <c r="A41" s="13">
        <v>3212</v>
      </c>
      <c r="B41" s="6" t="s">
        <v>46</v>
      </c>
      <c r="C41" s="37">
        <v>308468</v>
      </c>
      <c r="D41" s="37">
        <f>15000+802+4544+943+450+2174+382+250000</f>
        <v>274295</v>
      </c>
      <c r="E41" s="37"/>
      <c r="F41" s="37">
        <v>386833.51</v>
      </c>
      <c r="G41" s="32">
        <f t="shared" si="4"/>
        <v>125.4047453868797</v>
      </c>
      <c r="H41" s="32">
        <f t="shared" si="5"/>
        <v>141.02827612606865</v>
      </c>
    </row>
    <row r="42" spans="1:8" x14ac:dyDescent="0.25">
      <c r="A42" s="13">
        <v>3213</v>
      </c>
      <c r="B42" s="6" t="s">
        <v>49</v>
      </c>
      <c r="C42" s="37">
        <v>5235</v>
      </c>
      <c r="D42" s="37">
        <v>3000</v>
      </c>
      <c r="E42" s="37"/>
      <c r="F42" s="37">
        <v>8427.02</v>
      </c>
      <c r="G42" s="32">
        <f t="shared" si="4"/>
        <v>160.97459407831903</v>
      </c>
      <c r="H42" s="32">
        <f t="shared" si="5"/>
        <v>280.90066666666667</v>
      </c>
    </row>
    <row r="43" spans="1:8" x14ac:dyDescent="0.25">
      <c r="A43" s="13">
        <v>3214</v>
      </c>
      <c r="B43" s="6" t="s">
        <v>50</v>
      </c>
      <c r="C43" s="37">
        <v>18932</v>
      </c>
      <c r="D43" s="37">
        <f>6000+15000</f>
        <v>21000</v>
      </c>
      <c r="E43" s="37"/>
      <c r="F43" s="37">
        <v>26217</v>
      </c>
      <c r="G43" s="32">
        <f t="shared" si="4"/>
        <v>138.47982252271288</v>
      </c>
      <c r="H43" s="32">
        <f t="shared" si="5"/>
        <v>124.84285714285714</v>
      </c>
    </row>
    <row r="44" spans="1:8" s="18" customFormat="1" x14ac:dyDescent="0.25">
      <c r="A44" s="3">
        <v>322</v>
      </c>
      <c r="B44" s="7" t="s">
        <v>47</v>
      </c>
      <c r="C44" s="38">
        <v>1230464</v>
      </c>
      <c r="D44" s="38">
        <f>SUM(D46:D50)</f>
        <v>1155197</v>
      </c>
      <c r="E44" s="38"/>
      <c r="F44" s="38">
        <v>1648192.65</v>
      </c>
      <c r="G44" s="32">
        <f t="shared" si="4"/>
        <v>133.94887213278892</v>
      </c>
      <c r="H44" s="32">
        <f t="shared" si="5"/>
        <v>142.67632706802388</v>
      </c>
    </row>
    <row r="45" spans="1:8" x14ac:dyDescent="0.25">
      <c r="A45" s="13">
        <v>3221</v>
      </c>
      <c r="B45" s="21" t="s">
        <v>48</v>
      </c>
      <c r="C45" s="37">
        <v>183504</v>
      </c>
      <c r="D45" s="37">
        <f>220000+10000+20000+2000</f>
        <v>252000</v>
      </c>
      <c r="E45" s="37"/>
      <c r="F45" s="37">
        <v>195338.69</v>
      </c>
      <c r="G45" s="32">
        <f t="shared" si="4"/>
        <v>106.44928175952569</v>
      </c>
      <c r="H45" s="32">
        <f t="shared" si="5"/>
        <v>77.515353174603177</v>
      </c>
    </row>
    <row r="46" spans="1:8" x14ac:dyDescent="0.25">
      <c r="A46" s="13">
        <v>3222</v>
      </c>
      <c r="B46" s="6" t="s">
        <v>51</v>
      </c>
      <c r="C46" s="37">
        <v>533163</v>
      </c>
      <c r="D46" s="37">
        <f>368000+200000+160000</f>
        <v>728000</v>
      </c>
      <c r="E46" s="37"/>
      <c r="F46" s="37">
        <v>748181.17</v>
      </c>
      <c r="G46" s="32">
        <f t="shared" si="4"/>
        <v>140.32878688131024</v>
      </c>
      <c r="H46" s="32">
        <f t="shared" si="5"/>
        <v>102.77213873626374</v>
      </c>
    </row>
    <row r="47" spans="1:8" x14ac:dyDescent="0.25">
      <c r="A47" s="13">
        <v>3223</v>
      </c>
      <c r="B47" s="6" t="s">
        <v>52</v>
      </c>
      <c r="C47" s="37">
        <v>347680</v>
      </c>
      <c r="D47" s="37">
        <f>300000+5000</f>
        <v>305000</v>
      </c>
      <c r="E47" s="37"/>
      <c r="F47" s="37">
        <v>640281.86</v>
      </c>
      <c r="G47" s="32">
        <f t="shared" si="4"/>
        <v>184.15838127013345</v>
      </c>
      <c r="H47" s="32">
        <f t="shared" si="5"/>
        <v>209.92847868852459</v>
      </c>
    </row>
    <row r="48" spans="1:8" ht="30" x14ac:dyDescent="0.25">
      <c r="A48" s="13">
        <v>3224</v>
      </c>
      <c r="B48" s="6" t="s">
        <v>53</v>
      </c>
      <c r="C48" s="37">
        <v>10582</v>
      </c>
      <c r="D48" s="37">
        <f>15000</f>
        <v>15000</v>
      </c>
      <c r="E48" s="37"/>
      <c r="F48" s="37">
        <v>12205.44</v>
      </c>
      <c r="G48" s="32">
        <f t="shared" si="4"/>
        <v>115.34152334152334</v>
      </c>
      <c r="H48" s="32">
        <f t="shared" si="5"/>
        <v>81.369600000000005</v>
      </c>
    </row>
    <row r="49" spans="1:8" x14ac:dyDescent="0.25">
      <c r="A49" s="13">
        <v>3225</v>
      </c>
      <c r="B49" s="6" t="s">
        <v>54</v>
      </c>
      <c r="C49" s="37">
        <v>141730</v>
      </c>
      <c r="D49" s="37">
        <f>70000+23197</f>
        <v>93197</v>
      </c>
      <c r="E49" s="37"/>
      <c r="F49" s="37">
        <v>42397.49</v>
      </c>
      <c r="G49" s="32">
        <f t="shared" si="4"/>
        <v>29.914266563183517</v>
      </c>
      <c r="H49" s="32">
        <f t="shared" si="5"/>
        <v>45.492333444209578</v>
      </c>
    </row>
    <row r="50" spans="1:8" x14ac:dyDescent="0.25">
      <c r="A50" s="13">
        <v>3227</v>
      </c>
      <c r="B50" s="6" t="s">
        <v>55</v>
      </c>
      <c r="C50" s="37">
        <v>13805</v>
      </c>
      <c r="D50" s="37">
        <v>14000</v>
      </c>
      <c r="E50" s="37"/>
      <c r="F50" s="37">
        <v>9788</v>
      </c>
      <c r="G50" s="32">
        <f t="shared" si="4"/>
        <v>70.90184715682723</v>
      </c>
      <c r="H50" s="32">
        <f t="shared" si="5"/>
        <v>69.914285714285711</v>
      </c>
    </row>
    <row r="51" spans="1:8" s="18" customFormat="1" x14ac:dyDescent="0.25">
      <c r="A51" s="3">
        <v>323</v>
      </c>
      <c r="B51" s="8" t="s">
        <v>56</v>
      </c>
      <c r="C51" s="38">
        <v>629179</v>
      </c>
      <c r="D51" s="38"/>
      <c r="E51" s="38"/>
      <c r="F51" s="38">
        <v>652712.99</v>
      </c>
      <c r="G51" s="32">
        <f t="shared" si="4"/>
        <v>103.74042839954924</v>
      </c>
      <c r="H51" s="32"/>
    </row>
    <row r="52" spans="1:8" x14ac:dyDescent="0.25">
      <c r="A52" s="13">
        <v>3231</v>
      </c>
      <c r="B52" s="6" t="s">
        <v>57</v>
      </c>
      <c r="C52" s="37">
        <v>67314</v>
      </c>
      <c r="D52" s="37">
        <f>40000+80000</f>
        <v>120000</v>
      </c>
      <c r="E52" s="37"/>
      <c r="F52" s="37">
        <v>269236.03999999998</v>
      </c>
      <c r="G52" s="32">
        <f t="shared" si="4"/>
        <v>399.97034792168046</v>
      </c>
      <c r="H52" s="32">
        <f t="shared" si="5"/>
        <v>224.36336666666662</v>
      </c>
    </row>
    <row r="53" spans="1:8" x14ac:dyDescent="0.25">
      <c r="A53" s="13">
        <v>3232</v>
      </c>
      <c r="B53" s="6" t="s">
        <v>58</v>
      </c>
      <c r="C53" s="37">
        <v>118702</v>
      </c>
      <c r="D53" s="37">
        <f>80500</f>
        <v>80500</v>
      </c>
      <c r="E53" s="37"/>
      <c r="F53" s="37">
        <v>23817.24</v>
      </c>
      <c r="G53" s="32">
        <f t="shared" si="4"/>
        <v>20.064733534397064</v>
      </c>
      <c r="H53" s="32">
        <f t="shared" si="5"/>
        <v>29.586633540372674</v>
      </c>
    </row>
    <row r="54" spans="1:8" x14ac:dyDescent="0.25">
      <c r="A54" s="13">
        <v>3233</v>
      </c>
      <c r="B54" s="6" t="s">
        <v>59</v>
      </c>
      <c r="C54" s="37">
        <v>74120</v>
      </c>
      <c r="D54" s="37">
        <f>500+50000</f>
        <v>50500</v>
      </c>
      <c r="E54" s="37"/>
      <c r="F54" s="37">
        <v>48528.28</v>
      </c>
      <c r="G54" s="32">
        <f t="shared" si="4"/>
        <v>65.472584997301681</v>
      </c>
      <c r="H54" s="32">
        <f t="shared" si="5"/>
        <v>96.095603960396033</v>
      </c>
    </row>
    <row r="55" spans="1:8" x14ac:dyDescent="0.25">
      <c r="A55" s="13">
        <v>3234</v>
      </c>
      <c r="B55" s="6" t="s">
        <v>60</v>
      </c>
      <c r="C55" s="37">
        <v>49332</v>
      </c>
      <c r="D55" s="37">
        <f>50000</f>
        <v>50000</v>
      </c>
      <c r="E55" s="37"/>
      <c r="F55" s="37">
        <v>52614.71</v>
      </c>
      <c r="G55" s="32">
        <f t="shared" si="4"/>
        <v>106.65432173842535</v>
      </c>
      <c r="H55" s="32">
        <f t="shared" si="5"/>
        <v>105.22941999999999</v>
      </c>
    </row>
    <row r="56" spans="1:8" x14ac:dyDescent="0.25">
      <c r="A56" s="13">
        <v>3235</v>
      </c>
      <c r="B56" s="6" t="s">
        <v>118</v>
      </c>
      <c r="C56" s="37">
        <v>12847</v>
      </c>
      <c r="D56" s="37">
        <f>12000</f>
        <v>12000</v>
      </c>
      <c r="E56" s="37"/>
      <c r="F56" s="37">
        <v>17559.89</v>
      </c>
      <c r="G56" s="32">
        <f t="shared" si="4"/>
        <v>136.68475130380634</v>
      </c>
      <c r="H56" s="32">
        <f t="shared" si="5"/>
        <v>146.33241666666666</v>
      </c>
    </row>
    <row r="57" spans="1:8" x14ac:dyDescent="0.25">
      <c r="A57" s="13">
        <v>3236</v>
      </c>
      <c r="B57" s="6" t="s">
        <v>62</v>
      </c>
      <c r="C57" s="37">
        <v>32850</v>
      </c>
      <c r="D57" s="37">
        <f>25000</f>
        <v>25000</v>
      </c>
      <c r="E57" s="37"/>
      <c r="F57" s="37">
        <v>58622.32</v>
      </c>
      <c r="G57" s="32">
        <f t="shared" si="4"/>
        <v>178.45455098934551</v>
      </c>
      <c r="H57" s="32">
        <f t="shared" si="5"/>
        <v>234.48927999999998</v>
      </c>
    </row>
    <row r="58" spans="1:8" x14ac:dyDescent="0.25">
      <c r="A58" s="13">
        <v>3237</v>
      </c>
      <c r="B58" s="6" t="s">
        <v>63</v>
      </c>
      <c r="C58" s="37">
        <v>195799</v>
      </c>
      <c r="D58" s="37">
        <f>25000+80000</f>
        <v>105000</v>
      </c>
      <c r="E58" s="37"/>
      <c r="F58" s="37">
        <v>75604.36</v>
      </c>
      <c r="G58" s="32">
        <f t="shared" si="4"/>
        <v>38.613251344491033</v>
      </c>
      <c r="H58" s="32">
        <f t="shared" si="5"/>
        <v>72.004152380952377</v>
      </c>
    </row>
    <row r="59" spans="1:8" x14ac:dyDescent="0.25">
      <c r="A59" s="13">
        <v>3238</v>
      </c>
      <c r="B59" s="6" t="s">
        <v>64</v>
      </c>
      <c r="C59" s="37">
        <v>59246</v>
      </c>
      <c r="D59" s="37">
        <f>15000+10000</f>
        <v>25000</v>
      </c>
      <c r="E59" s="37"/>
      <c r="F59" s="37">
        <v>79692.77</v>
      </c>
      <c r="G59" s="32">
        <f t="shared" si="4"/>
        <v>134.51164635587213</v>
      </c>
      <c r="H59" s="32">
        <f t="shared" si="5"/>
        <v>318.77107999999998</v>
      </c>
    </row>
    <row r="60" spans="1:8" x14ac:dyDescent="0.25">
      <c r="A60" s="13">
        <v>3239</v>
      </c>
      <c r="B60" s="6" t="s">
        <v>65</v>
      </c>
      <c r="C60" s="37">
        <v>18969</v>
      </c>
      <c r="D60" s="37">
        <f>5000</f>
        <v>5000</v>
      </c>
      <c r="E60" s="37"/>
      <c r="F60" s="37">
        <v>27037.38</v>
      </c>
      <c r="G60" s="32">
        <f t="shared" si="4"/>
        <v>142.53455638146451</v>
      </c>
      <c r="H60" s="32">
        <f t="shared" si="5"/>
        <v>540.74760000000003</v>
      </c>
    </row>
    <row r="61" spans="1:8" s="18" customFormat="1" ht="30" x14ac:dyDescent="0.25">
      <c r="A61" s="3">
        <v>324</v>
      </c>
      <c r="B61" s="8" t="s">
        <v>66</v>
      </c>
      <c r="C61" s="38">
        <v>472</v>
      </c>
      <c r="D61" s="38"/>
      <c r="E61" s="38"/>
      <c r="F61" s="38">
        <v>4910</v>
      </c>
      <c r="G61" s="32">
        <f t="shared" si="4"/>
        <v>1040.2542372881358</v>
      </c>
      <c r="H61" s="32"/>
    </row>
    <row r="62" spans="1:8" ht="30" x14ac:dyDescent="0.25">
      <c r="A62" s="13">
        <v>3241</v>
      </c>
      <c r="B62" s="6" t="s">
        <v>66</v>
      </c>
      <c r="C62" s="37">
        <v>472</v>
      </c>
      <c r="D62" s="37"/>
      <c r="E62" s="37"/>
      <c r="F62" s="37">
        <v>4910.1400000000003</v>
      </c>
      <c r="G62" s="32">
        <f t="shared" si="4"/>
        <v>1040.2838983050849</v>
      </c>
      <c r="H62" s="32"/>
    </row>
    <row r="63" spans="1:8" s="18" customFormat="1" x14ac:dyDescent="0.25">
      <c r="A63" s="3">
        <v>329</v>
      </c>
      <c r="B63" s="8" t="s">
        <v>67</v>
      </c>
      <c r="C63" s="38">
        <v>121013</v>
      </c>
      <c r="D63" s="38">
        <f>SUM(D65:D70)</f>
        <v>555803</v>
      </c>
      <c r="E63" s="38"/>
      <c r="F63" s="38">
        <v>248551.73</v>
      </c>
      <c r="G63" s="32">
        <f t="shared" si="4"/>
        <v>205.39258592052096</v>
      </c>
      <c r="H63" s="32">
        <f t="shared" si="5"/>
        <v>44.719393382187576</v>
      </c>
    </row>
    <row r="64" spans="1:8" x14ac:dyDescent="0.25">
      <c r="A64" s="13">
        <v>3291</v>
      </c>
      <c r="B64" s="6" t="s">
        <v>68</v>
      </c>
      <c r="C64" s="37"/>
      <c r="D64" s="37"/>
      <c r="E64" s="37"/>
      <c r="F64" s="37"/>
      <c r="G64" s="32"/>
      <c r="H64" s="32"/>
    </row>
    <row r="65" spans="1:8" x14ac:dyDescent="0.25">
      <c r="A65" s="13">
        <v>3292</v>
      </c>
      <c r="B65" s="6" t="s">
        <v>69</v>
      </c>
      <c r="C65" s="37">
        <v>30891</v>
      </c>
      <c r="D65" s="37">
        <f>30000</f>
        <v>30000</v>
      </c>
      <c r="E65" s="37"/>
      <c r="F65" s="37">
        <v>29280</v>
      </c>
      <c r="G65" s="32">
        <f t="shared" si="4"/>
        <v>94.784888802563856</v>
      </c>
      <c r="H65" s="32">
        <f t="shared" si="5"/>
        <v>97.6</v>
      </c>
    </row>
    <row r="66" spans="1:8" x14ac:dyDescent="0.25">
      <c r="A66" s="13">
        <v>3293</v>
      </c>
      <c r="B66" s="6" t="s">
        <v>70</v>
      </c>
      <c r="C66" s="37">
        <v>4272</v>
      </c>
      <c r="D66" s="37">
        <f>2000+15000</f>
        <v>17000</v>
      </c>
      <c r="E66" s="37"/>
      <c r="F66" s="37">
        <v>19476.88</v>
      </c>
      <c r="G66" s="32">
        <f t="shared" si="4"/>
        <v>455.91947565543069</v>
      </c>
      <c r="H66" s="32">
        <f t="shared" si="5"/>
        <v>114.56988235294119</v>
      </c>
    </row>
    <row r="67" spans="1:8" x14ac:dyDescent="0.25">
      <c r="A67" s="13">
        <v>3294</v>
      </c>
      <c r="B67" s="6" t="s">
        <v>71</v>
      </c>
      <c r="C67" s="37">
        <v>300</v>
      </c>
      <c r="D67" s="37">
        <f>1000</f>
        <v>1000</v>
      </c>
      <c r="E67" s="37"/>
      <c r="F67" s="37">
        <v>816.55</v>
      </c>
      <c r="G67" s="32">
        <f t="shared" si="4"/>
        <v>272.18333333333334</v>
      </c>
      <c r="H67" s="32">
        <f t="shared" si="5"/>
        <v>81.655000000000001</v>
      </c>
    </row>
    <row r="68" spans="1:8" x14ac:dyDescent="0.25">
      <c r="A68" s="13">
        <v>3295</v>
      </c>
      <c r="B68" s="6" t="s">
        <v>72</v>
      </c>
      <c r="C68" s="37">
        <v>36406</v>
      </c>
      <c r="D68" s="37">
        <f>500+30000</f>
        <v>30500</v>
      </c>
      <c r="E68" s="37"/>
      <c r="F68" s="37">
        <v>46195.5</v>
      </c>
      <c r="G68" s="32">
        <f t="shared" si="4"/>
        <v>126.88979838488162</v>
      </c>
      <c r="H68" s="32">
        <f t="shared" si="5"/>
        <v>151.46065573770491</v>
      </c>
    </row>
    <row r="69" spans="1:8" x14ac:dyDescent="0.25">
      <c r="A69" s="13">
        <v>3296</v>
      </c>
      <c r="B69" s="6" t="s">
        <v>73</v>
      </c>
      <c r="C69" s="37">
        <v>9656</v>
      </c>
      <c r="D69" s="37">
        <f>27000</f>
        <v>27000</v>
      </c>
      <c r="E69" s="37"/>
      <c r="F69" s="37">
        <v>56459.45</v>
      </c>
      <c r="G69" s="32">
        <f t="shared" si="4"/>
        <v>584.70847141673573</v>
      </c>
      <c r="H69" s="32">
        <f t="shared" si="5"/>
        <v>209.10907407407407</v>
      </c>
    </row>
    <row r="70" spans="1:8" x14ac:dyDescent="0.25">
      <c r="A70" s="13">
        <v>3299</v>
      </c>
      <c r="B70" s="6" t="s">
        <v>67</v>
      </c>
      <c r="C70" s="37">
        <v>39488</v>
      </c>
      <c r="D70" s="37">
        <f>5300+400003+30000+15000</f>
        <v>450303</v>
      </c>
      <c r="E70" s="37"/>
      <c r="F70" s="37">
        <v>96323.35</v>
      </c>
      <c r="G70" s="32">
        <f t="shared" si="4"/>
        <v>243.93068780388981</v>
      </c>
      <c r="H70" s="32">
        <f t="shared" si="5"/>
        <v>21.390785759810619</v>
      </c>
    </row>
    <row r="71" spans="1:8" s="18" customFormat="1" x14ac:dyDescent="0.25">
      <c r="A71" s="3">
        <v>34</v>
      </c>
      <c r="B71" s="8" t="s">
        <v>74</v>
      </c>
      <c r="C71" s="38">
        <v>15446</v>
      </c>
      <c r="D71" s="38">
        <v>27700</v>
      </c>
      <c r="E71" s="38"/>
      <c r="F71" s="38">
        <v>46205.81</v>
      </c>
      <c r="G71" s="32">
        <f t="shared" si="4"/>
        <v>299.14417972290562</v>
      </c>
      <c r="H71" s="32">
        <f t="shared" si="5"/>
        <v>166.80797833935017</v>
      </c>
    </row>
    <row r="72" spans="1:8" s="18" customFormat="1" x14ac:dyDescent="0.25">
      <c r="A72" s="3">
        <v>343</v>
      </c>
      <c r="B72" s="8" t="s">
        <v>75</v>
      </c>
      <c r="C72" s="38">
        <v>15446</v>
      </c>
      <c r="D72" s="38">
        <f>SUM(D73:D75)</f>
        <v>27700</v>
      </c>
      <c r="E72" s="38"/>
      <c r="F72" s="38">
        <v>46205.81</v>
      </c>
      <c r="G72" s="32">
        <f t="shared" si="4"/>
        <v>299.14417972290562</v>
      </c>
      <c r="H72" s="32">
        <f t="shared" si="5"/>
        <v>166.80797833935017</v>
      </c>
    </row>
    <row r="73" spans="1:8" x14ac:dyDescent="0.25">
      <c r="A73" s="13">
        <v>3431</v>
      </c>
      <c r="B73" s="6" t="s">
        <v>76</v>
      </c>
      <c r="C73" s="37">
        <v>6504</v>
      </c>
      <c r="D73" s="37">
        <v>7000</v>
      </c>
      <c r="E73" s="37"/>
      <c r="F73" s="37">
        <v>8441.66</v>
      </c>
      <c r="G73" s="32">
        <f t="shared" si="4"/>
        <v>129.7918204182042</v>
      </c>
      <c r="H73" s="32">
        <f t="shared" si="5"/>
        <v>120.59514285714286</v>
      </c>
    </row>
    <row r="74" spans="1:8" x14ac:dyDescent="0.25">
      <c r="A74" s="13">
        <v>3433</v>
      </c>
      <c r="B74" s="6" t="s">
        <v>77</v>
      </c>
      <c r="C74" s="37">
        <v>3185</v>
      </c>
      <c r="D74" s="37">
        <v>20000</v>
      </c>
      <c r="E74" s="37"/>
      <c r="F74" s="37">
        <v>20898.900000000001</v>
      </c>
      <c r="G74" s="32"/>
      <c r="H74" s="32">
        <f t="shared" si="5"/>
        <v>104.4945</v>
      </c>
    </row>
    <row r="75" spans="1:8" x14ac:dyDescent="0.25">
      <c r="A75" s="13">
        <v>3434</v>
      </c>
      <c r="B75" s="6" t="s">
        <v>78</v>
      </c>
      <c r="C75" s="37">
        <v>5757</v>
      </c>
      <c r="D75" s="37">
        <f>200+500</f>
        <v>700</v>
      </c>
      <c r="E75" s="37"/>
      <c r="F75" s="37">
        <v>16865.25</v>
      </c>
      <c r="G75" s="32">
        <f t="shared" si="4"/>
        <v>292.95205836373111</v>
      </c>
      <c r="H75" s="32">
        <f t="shared" si="5"/>
        <v>2409.3214285714284</v>
      </c>
    </row>
    <row r="76" spans="1:8" s="18" customFormat="1" ht="30" x14ac:dyDescent="0.25">
      <c r="A76" s="3">
        <v>372</v>
      </c>
      <c r="B76" s="8" t="s">
        <v>109</v>
      </c>
      <c r="C76" s="38">
        <v>165936</v>
      </c>
      <c r="D76" s="38">
        <f>SUM(D77:D78)</f>
        <v>76500</v>
      </c>
      <c r="E76" s="38"/>
      <c r="F76" s="38">
        <v>375725.63</v>
      </c>
      <c r="G76" s="32">
        <f t="shared" si="4"/>
        <v>226.42803852087553</v>
      </c>
      <c r="H76" s="32">
        <f t="shared" si="5"/>
        <v>491.144614379085</v>
      </c>
    </row>
    <row r="77" spans="1:8" x14ac:dyDescent="0.25">
      <c r="A77" s="13">
        <v>3721</v>
      </c>
      <c r="B77" s="6" t="s">
        <v>110</v>
      </c>
      <c r="C77" s="37">
        <v>10981</v>
      </c>
      <c r="D77" s="37">
        <v>18000</v>
      </c>
      <c r="E77" s="37"/>
      <c r="F77" s="37">
        <v>6200</v>
      </c>
      <c r="G77" s="32">
        <f t="shared" si="4"/>
        <v>56.461160185775427</v>
      </c>
      <c r="H77" s="32">
        <f t="shared" si="5"/>
        <v>34.444444444444443</v>
      </c>
    </row>
    <row r="78" spans="1:8" x14ac:dyDescent="0.25">
      <c r="A78" s="13">
        <v>3722</v>
      </c>
      <c r="B78" s="6" t="s">
        <v>80</v>
      </c>
      <c r="C78" s="37">
        <v>154955</v>
      </c>
      <c r="D78" s="37">
        <f>58500</f>
        <v>58500</v>
      </c>
      <c r="E78" s="37"/>
      <c r="F78" s="37">
        <v>369525.63</v>
      </c>
      <c r="G78" s="32">
        <f t="shared" si="4"/>
        <v>238.47286631602725</v>
      </c>
      <c r="H78" s="32">
        <f t="shared" si="5"/>
        <v>631.66774358974362</v>
      </c>
    </row>
    <row r="79" spans="1:8" s="18" customFormat="1" x14ac:dyDescent="0.25">
      <c r="A79" s="3">
        <v>38</v>
      </c>
      <c r="B79" s="8" t="s">
        <v>111</v>
      </c>
      <c r="C79" s="38">
        <v>252475</v>
      </c>
      <c r="D79" s="38">
        <v>20000</v>
      </c>
      <c r="E79" s="38"/>
      <c r="F79" s="38">
        <v>8748</v>
      </c>
      <c r="G79" s="32">
        <f t="shared" si="4"/>
        <v>3.4648975146054064</v>
      </c>
      <c r="H79" s="52">
        <f t="shared" si="5"/>
        <v>43.74</v>
      </c>
    </row>
    <row r="80" spans="1:8" s="18" customFormat="1" x14ac:dyDescent="0.25">
      <c r="A80" s="3">
        <v>381</v>
      </c>
      <c r="B80" s="8" t="s">
        <v>81</v>
      </c>
      <c r="C80" s="38">
        <v>252475</v>
      </c>
      <c r="D80" s="38">
        <v>20000</v>
      </c>
      <c r="E80" s="38"/>
      <c r="F80" s="38">
        <v>8748</v>
      </c>
      <c r="G80" s="32">
        <f t="shared" si="4"/>
        <v>3.4648975146054064</v>
      </c>
      <c r="H80" s="52">
        <f t="shared" si="5"/>
        <v>43.74</v>
      </c>
    </row>
    <row r="81" spans="1:8" x14ac:dyDescent="0.25">
      <c r="A81" s="13">
        <v>3811</v>
      </c>
      <c r="B81" s="6" t="s">
        <v>82</v>
      </c>
      <c r="C81" s="37">
        <v>252475</v>
      </c>
      <c r="D81" s="37">
        <v>20000</v>
      </c>
      <c r="E81" s="37"/>
      <c r="F81" s="37">
        <v>8748</v>
      </c>
      <c r="G81" s="32">
        <f t="shared" si="4"/>
        <v>3.4648975146054064</v>
      </c>
      <c r="H81" s="52">
        <f t="shared" si="5"/>
        <v>43.74</v>
      </c>
    </row>
    <row r="82" spans="1:8" x14ac:dyDescent="0.25">
      <c r="A82" s="13">
        <v>3812</v>
      </c>
      <c r="B82" s="6" t="s">
        <v>83</v>
      </c>
      <c r="C82" s="37"/>
      <c r="D82" s="37"/>
      <c r="E82" s="37"/>
      <c r="F82" s="37"/>
      <c r="G82" s="32"/>
      <c r="H82" s="32"/>
    </row>
    <row r="83" spans="1:8" s="18" customFormat="1" ht="30" x14ac:dyDescent="0.25">
      <c r="A83" s="3">
        <v>4</v>
      </c>
      <c r="B83" s="8" t="s">
        <v>90</v>
      </c>
      <c r="C83" s="38">
        <v>201895</v>
      </c>
      <c r="D83" s="38">
        <v>280000</v>
      </c>
      <c r="E83" s="38"/>
      <c r="F83" s="38">
        <v>440833.9</v>
      </c>
      <c r="G83" s="32">
        <f t="shared" si="4"/>
        <v>218.34810173605095</v>
      </c>
      <c r="H83" s="32">
        <f t="shared" si="5"/>
        <v>157.44067857142858</v>
      </c>
    </row>
    <row r="84" spans="1:8" s="18" customFormat="1" x14ac:dyDescent="0.25">
      <c r="A84" s="3">
        <v>421</v>
      </c>
      <c r="B84" s="8" t="s">
        <v>85</v>
      </c>
      <c r="C84" s="38"/>
      <c r="D84" s="38">
        <v>130000</v>
      </c>
      <c r="E84" s="38"/>
      <c r="F84" s="38">
        <v>132605</v>
      </c>
      <c r="G84" s="32"/>
      <c r="H84" s="32">
        <f t="shared" si="5"/>
        <v>102.00384615384614</v>
      </c>
    </row>
    <row r="85" spans="1:8" s="18" customFormat="1" x14ac:dyDescent="0.25">
      <c r="A85" s="3">
        <v>422</v>
      </c>
      <c r="B85" s="8" t="s">
        <v>84</v>
      </c>
      <c r="C85" s="38">
        <v>10250</v>
      </c>
      <c r="D85" s="38">
        <f>SUM(D86:D87)</f>
        <v>0</v>
      </c>
      <c r="E85" s="38"/>
      <c r="F85" s="38">
        <v>61892.25</v>
      </c>
      <c r="G85" s="32">
        <f t="shared" si="4"/>
        <v>603.82682926829273</v>
      </c>
      <c r="H85" s="32"/>
    </row>
    <row r="86" spans="1:8" x14ac:dyDescent="0.25">
      <c r="A86" s="13">
        <v>4221</v>
      </c>
      <c r="B86" s="6" t="s">
        <v>86</v>
      </c>
      <c r="C86" s="37">
        <v>10250</v>
      </c>
      <c r="D86" s="37">
        <v>0</v>
      </c>
      <c r="E86" s="37"/>
      <c r="F86" s="37">
        <v>50742.25</v>
      </c>
      <c r="G86" s="32">
        <f t="shared" si="4"/>
        <v>495.04634146341465</v>
      </c>
      <c r="H86" s="32"/>
    </row>
    <row r="87" spans="1:8" x14ac:dyDescent="0.25">
      <c r="A87" s="13">
        <v>4223</v>
      </c>
      <c r="B87" s="6" t="s">
        <v>87</v>
      </c>
      <c r="C87" s="37"/>
      <c r="D87" s="37"/>
      <c r="E87" s="37"/>
      <c r="F87" s="37">
        <v>11150</v>
      </c>
      <c r="G87" s="32"/>
      <c r="H87" s="32"/>
    </row>
    <row r="88" spans="1:8" s="18" customFormat="1" ht="30" x14ac:dyDescent="0.25">
      <c r="A88" s="3">
        <v>424</v>
      </c>
      <c r="B88" s="8" t="s">
        <v>88</v>
      </c>
      <c r="C88" s="38">
        <v>191645</v>
      </c>
      <c r="D88" s="38">
        <v>250000</v>
      </c>
      <c r="E88" s="38"/>
      <c r="F88" s="38">
        <v>246336.65</v>
      </c>
      <c r="G88" s="32">
        <f t="shared" si="4"/>
        <v>128.53799994782017</v>
      </c>
      <c r="H88" s="52">
        <f t="shared" si="5"/>
        <v>98.534660000000002</v>
      </c>
    </row>
    <row r="89" spans="1:8" x14ac:dyDescent="0.25">
      <c r="A89" s="13">
        <v>4241</v>
      </c>
      <c r="B89" s="6" t="s">
        <v>89</v>
      </c>
      <c r="C89" s="37">
        <v>191645</v>
      </c>
      <c r="D89" s="37">
        <v>250000</v>
      </c>
      <c r="E89" s="37"/>
      <c r="F89" s="37">
        <v>246336.65</v>
      </c>
      <c r="G89" s="32">
        <f t="shared" si="4"/>
        <v>128.53799994782017</v>
      </c>
      <c r="H89" s="52">
        <v>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A2" sqref="A2"/>
    </sheetView>
  </sheetViews>
  <sheetFormatPr defaultRowHeight="15" x14ac:dyDescent="0.25"/>
  <cols>
    <col min="1" max="1" width="10.85546875" style="10" customWidth="1"/>
    <col min="2" max="2" width="50.7109375" customWidth="1"/>
    <col min="3" max="3" width="17.140625" style="44" customWidth="1"/>
    <col min="4" max="4" width="16.5703125" style="44" customWidth="1"/>
    <col min="5" max="5" width="17" style="44" customWidth="1"/>
    <col min="6" max="6" width="14.28515625" style="44" customWidth="1"/>
  </cols>
  <sheetData>
    <row r="1" spans="1:6" ht="15.75" x14ac:dyDescent="0.25">
      <c r="A1" s="11"/>
      <c r="B1" s="18" t="s">
        <v>92</v>
      </c>
    </row>
    <row r="2" spans="1:6" ht="15.75" x14ac:dyDescent="0.25">
      <c r="A2" s="12" t="s">
        <v>176</v>
      </c>
    </row>
    <row r="3" spans="1:6" ht="15.75" x14ac:dyDescent="0.25">
      <c r="A3" s="12"/>
      <c r="B3" s="18" t="s">
        <v>172</v>
      </c>
    </row>
    <row r="4" spans="1:6" x14ac:dyDescent="0.25">
      <c r="A4" s="24" t="s">
        <v>158</v>
      </c>
    </row>
    <row r="5" spans="1:6" ht="45" x14ac:dyDescent="0.25">
      <c r="A5" s="3" t="s">
        <v>17</v>
      </c>
      <c r="B5" s="2" t="s">
        <v>18</v>
      </c>
      <c r="C5" s="35" t="s">
        <v>36</v>
      </c>
      <c r="D5" s="45" t="s">
        <v>137</v>
      </c>
      <c r="E5" s="35" t="s">
        <v>138</v>
      </c>
      <c r="F5" s="41" t="s">
        <v>20</v>
      </c>
    </row>
    <row r="6" spans="1:6" x14ac:dyDescent="0.25">
      <c r="A6" s="13"/>
      <c r="B6" s="14">
        <v>1</v>
      </c>
      <c r="C6" s="46">
        <v>2</v>
      </c>
      <c r="D6" s="46">
        <v>3</v>
      </c>
      <c r="E6" s="46">
        <v>4</v>
      </c>
      <c r="F6" s="36" t="s">
        <v>116</v>
      </c>
    </row>
    <row r="7" spans="1:6" ht="30" x14ac:dyDescent="0.25">
      <c r="A7" s="20">
        <v>67</v>
      </c>
      <c r="B7" s="15" t="s">
        <v>25</v>
      </c>
      <c r="C7" s="43">
        <v>1560468</v>
      </c>
      <c r="D7" s="43">
        <v>1877786</v>
      </c>
      <c r="E7" s="43">
        <v>2004383.81</v>
      </c>
      <c r="F7" s="43">
        <f>E7/C7*100</f>
        <v>128.44760738445135</v>
      </c>
    </row>
    <row r="8" spans="1:6" ht="30" x14ac:dyDescent="0.25">
      <c r="A8" s="13">
        <v>6711</v>
      </c>
      <c r="B8" s="6" t="s">
        <v>23</v>
      </c>
      <c r="C8" s="43">
        <v>1560468</v>
      </c>
      <c r="D8" s="37">
        <f>41988.3+1835797.28</f>
        <v>1877785.58</v>
      </c>
      <c r="E8" s="43">
        <v>2004384</v>
      </c>
      <c r="F8" s="43">
        <f t="shared" ref="F8:F44" si="0">E8/C8*100</f>
        <v>128.44761956028577</v>
      </c>
    </row>
    <row r="9" spans="1:6" ht="30" x14ac:dyDescent="0.25">
      <c r="A9" s="13">
        <v>6712</v>
      </c>
      <c r="B9" s="6" t="s">
        <v>24</v>
      </c>
      <c r="C9" s="43">
        <v>0</v>
      </c>
      <c r="D9" s="43"/>
      <c r="E9" s="43">
        <v>0</v>
      </c>
      <c r="F9" s="43" t="s">
        <v>117</v>
      </c>
    </row>
    <row r="10" spans="1:6" s="18" customFormat="1" x14ac:dyDescent="0.25">
      <c r="A10" s="3"/>
      <c r="B10" s="48" t="s">
        <v>131</v>
      </c>
      <c r="C10" s="42">
        <v>1560468</v>
      </c>
      <c r="D10" s="42">
        <v>1877786</v>
      </c>
      <c r="E10" s="42">
        <v>2004384</v>
      </c>
      <c r="F10" s="43">
        <f t="shared" si="0"/>
        <v>128.44761956028577</v>
      </c>
    </row>
    <row r="11" spans="1:6" x14ac:dyDescent="0.25">
      <c r="A11" s="23" t="s">
        <v>159</v>
      </c>
      <c r="B11" s="22"/>
      <c r="C11" s="43"/>
      <c r="D11" s="43"/>
      <c r="E11" s="43"/>
      <c r="F11" s="43" t="s">
        <v>117</v>
      </c>
    </row>
    <row r="12" spans="1:6" s="19" customFormat="1" x14ac:dyDescent="0.25">
      <c r="A12" s="49">
        <v>64</v>
      </c>
      <c r="B12" s="50" t="s">
        <v>115</v>
      </c>
      <c r="C12" s="51">
        <v>16</v>
      </c>
      <c r="D12" s="51"/>
      <c r="E12" s="51">
        <v>13</v>
      </c>
      <c r="F12" s="43" t="s">
        <v>117</v>
      </c>
    </row>
    <row r="13" spans="1:6" x14ac:dyDescent="0.25">
      <c r="A13" s="13">
        <v>641</v>
      </c>
      <c r="B13" s="15" t="s">
        <v>105</v>
      </c>
      <c r="C13" s="43">
        <v>16</v>
      </c>
      <c r="D13" s="43"/>
      <c r="E13" s="43">
        <v>13</v>
      </c>
      <c r="F13" s="43" t="s">
        <v>117</v>
      </c>
    </row>
    <row r="14" spans="1:6" ht="30" x14ac:dyDescent="0.25">
      <c r="A14" s="3">
        <v>66</v>
      </c>
      <c r="B14" s="8" t="s">
        <v>26</v>
      </c>
      <c r="C14" s="42">
        <v>43160</v>
      </c>
      <c r="D14" s="42">
        <v>110000</v>
      </c>
      <c r="E14" s="42">
        <v>174725</v>
      </c>
      <c r="F14" s="42">
        <f t="shared" si="0"/>
        <v>404.83086190917516</v>
      </c>
    </row>
    <row r="15" spans="1:6" s="18" customFormat="1" x14ac:dyDescent="0.25">
      <c r="A15" s="3">
        <v>661</v>
      </c>
      <c r="B15" s="8" t="s">
        <v>27</v>
      </c>
      <c r="C15" s="42">
        <v>21009</v>
      </c>
      <c r="D15" s="42">
        <v>80000</v>
      </c>
      <c r="E15" s="42">
        <v>75050</v>
      </c>
      <c r="F15" s="42">
        <f t="shared" si="0"/>
        <v>357.22785472892571</v>
      </c>
    </row>
    <row r="16" spans="1:6" s="18" customFormat="1" x14ac:dyDescent="0.25">
      <c r="A16" s="3">
        <v>663</v>
      </c>
      <c r="B16" s="8" t="s">
        <v>81</v>
      </c>
      <c r="C16" s="42">
        <v>22151</v>
      </c>
      <c r="D16" s="42">
        <v>30000</v>
      </c>
      <c r="E16" s="42">
        <v>99675</v>
      </c>
      <c r="F16" s="42">
        <f t="shared" si="0"/>
        <v>449.97968489007263</v>
      </c>
    </row>
    <row r="17" spans="1:6" s="18" customFormat="1" x14ac:dyDescent="0.25">
      <c r="A17" s="3">
        <v>72</v>
      </c>
      <c r="B17" s="8" t="s">
        <v>107</v>
      </c>
      <c r="C17" s="42">
        <v>310</v>
      </c>
      <c r="D17" s="42">
        <v>0</v>
      </c>
      <c r="E17" s="42">
        <v>0</v>
      </c>
      <c r="F17" s="43">
        <f t="shared" si="0"/>
        <v>0</v>
      </c>
    </row>
    <row r="18" spans="1:6" x14ac:dyDescent="0.25">
      <c r="A18" s="13">
        <v>721</v>
      </c>
      <c r="B18" s="15" t="s">
        <v>108</v>
      </c>
      <c r="C18" s="43">
        <v>310</v>
      </c>
      <c r="D18" s="43">
        <v>0</v>
      </c>
      <c r="E18" s="43">
        <v>0</v>
      </c>
      <c r="F18" s="43">
        <f t="shared" si="0"/>
        <v>0</v>
      </c>
    </row>
    <row r="19" spans="1:6" s="18" customFormat="1" x14ac:dyDescent="0.25">
      <c r="A19" s="3"/>
      <c r="B19" s="48" t="s">
        <v>91</v>
      </c>
      <c r="C19" s="42">
        <f>43160+310</f>
        <v>43470</v>
      </c>
      <c r="D19" s="42">
        <v>110000</v>
      </c>
      <c r="E19" s="42">
        <v>174725</v>
      </c>
      <c r="F19" s="42">
        <f t="shared" si="0"/>
        <v>401.9438693351737</v>
      </c>
    </row>
    <row r="20" spans="1:6" x14ac:dyDescent="0.25">
      <c r="A20" s="23" t="s">
        <v>160</v>
      </c>
      <c r="B20" s="15"/>
      <c r="C20" s="43"/>
      <c r="D20" s="43"/>
      <c r="E20" s="43"/>
      <c r="F20" s="43" t="s">
        <v>117</v>
      </c>
    </row>
    <row r="21" spans="1:6" x14ac:dyDescent="0.25">
      <c r="A21" s="3">
        <v>652</v>
      </c>
      <c r="B21" s="8" t="s">
        <v>28</v>
      </c>
      <c r="C21" s="42">
        <v>736063</v>
      </c>
      <c r="D21" s="42">
        <v>674755</v>
      </c>
      <c r="E21" s="42">
        <v>775379</v>
      </c>
      <c r="F21" s="42">
        <f t="shared" si="0"/>
        <v>105.34139061466206</v>
      </c>
    </row>
    <row r="22" spans="1:6" x14ac:dyDescent="0.25">
      <c r="A22" s="13">
        <v>65264</v>
      </c>
      <c r="B22" s="15" t="s">
        <v>29</v>
      </c>
      <c r="C22" s="43">
        <v>736063</v>
      </c>
      <c r="D22" s="43">
        <v>674755</v>
      </c>
      <c r="E22" s="43">
        <v>775379</v>
      </c>
      <c r="F22" s="43">
        <f t="shared" si="0"/>
        <v>105.34139061466206</v>
      </c>
    </row>
    <row r="23" spans="1:6" x14ac:dyDescent="0.25">
      <c r="A23" s="13"/>
      <c r="B23" s="22" t="s">
        <v>132</v>
      </c>
      <c r="C23" s="43">
        <v>736063</v>
      </c>
      <c r="D23" s="43">
        <v>674755</v>
      </c>
      <c r="E23" s="43">
        <v>775379</v>
      </c>
      <c r="F23" s="43">
        <f t="shared" si="0"/>
        <v>105.34139061466206</v>
      </c>
    </row>
    <row r="24" spans="1:6" x14ac:dyDescent="0.25">
      <c r="A24" s="23" t="s">
        <v>161</v>
      </c>
      <c r="B24" s="15"/>
      <c r="C24" s="43"/>
      <c r="D24" s="43"/>
      <c r="E24" s="43"/>
      <c r="F24" s="43" t="s">
        <v>117</v>
      </c>
    </row>
    <row r="25" spans="1:6" ht="30" x14ac:dyDescent="0.25">
      <c r="A25" s="3">
        <v>63</v>
      </c>
      <c r="B25" s="8" t="s">
        <v>30</v>
      </c>
      <c r="C25" s="43">
        <v>12718482</v>
      </c>
      <c r="D25" s="38">
        <f>SUM(D27:D31)</f>
        <v>14095937.99</v>
      </c>
      <c r="E25" s="43">
        <v>14459193</v>
      </c>
      <c r="F25" s="43">
        <f t="shared" si="0"/>
        <v>113.68646824361586</v>
      </c>
    </row>
    <row r="26" spans="1:6" ht="30" x14ac:dyDescent="0.25">
      <c r="A26" s="3">
        <v>633</v>
      </c>
      <c r="B26" s="8" t="s">
        <v>140</v>
      </c>
      <c r="C26" s="43"/>
      <c r="D26" s="38"/>
      <c r="E26" s="43">
        <v>36109</v>
      </c>
      <c r="F26" s="43"/>
    </row>
    <row r="27" spans="1:6" x14ac:dyDescent="0.25">
      <c r="A27" s="13">
        <v>634</v>
      </c>
      <c r="B27" s="15" t="s">
        <v>31</v>
      </c>
      <c r="C27" s="43">
        <v>1922</v>
      </c>
      <c r="D27" s="43"/>
      <c r="E27" s="43">
        <v>0</v>
      </c>
      <c r="F27" s="43" t="s">
        <v>117</v>
      </c>
    </row>
    <row r="28" spans="1:6" ht="30" x14ac:dyDescent="0.25">
      <c r="A28" s="13">
        <v>636</v>
      </c>
      <c r="B28" s="15" t="s">
        <v>32</v>
      </c>
      <c r="C28" s="43">
        <v>12055199</v>
      </c>
      <c r="D28" s="37">
        <v>12965022</v>
      </c>
      <c r="E28" s="43">
        <v>13328615</v>
      </c>
      <c r="F28" s="43">
        <f t="shared" si="0"/>
        <v>110.56321011374428</v>
      </c>
    </row>
    <row r="29" spans="1:6" x14ac:dyDescent="0.25">
      <c r="A29" s="13">
        <v>638</v>
      </c>
      <c r="B29" s="15" t="s">
        <v>33</v>
      </c>
      <c r="C29" s="43">
        <v>661361</v>
      </c>
      <c r="D29" s="37">
        <f>716500+202413+147392</f>
        <v>1066305</v>
      </c>
      <c r="E29" s="43">
        <v>1019958</v>
      </c>
      <c r="F29" s="43">
        <f t="shared" si="0"/>
        <v>154.22106837264369</v>
      </c>
    </row>
    <row r="30" spans="1:6" x14ac:dyDescent="0.25">
      <c r="A30" s="13">
        <v>639</v>
      </c>
      <c r="B30" s="15" t="s">
        <v>139</v>
      </c>
      <c r="C30" s="43"/>
      <c r="D30" s="37">
        <v>64610.99</v>
      </c>
      <c r="E30" s="43">
        <v>74511</v>
      </c>
      <c r="F30" s="43"/>
    </row>
    <row r="31" spans="1:6" x14ac:dyDescent="0.25">
      <c r="A31" s="13"/>
      <c r="B31" s="22" t="s">
        <v>133</v>
      </c>
      <c r="C31" s="43">
        <f>SUM(C27:C29)</f>
        <v>12718482</v>
      </c>
      <c r="D31" s="43"/>
      <c r="E31" s="43">
        <f>SUM(E28:E30)</f>
        <v>14423084</v>
      </c>
      <c r="F31" s="43">
        <f t="shared" si="0"/>
        <v>113.40255857577972</v>
      </c>
    </row>
    <row r="32" spans="1:6" x14ac:dyDescent="0.25">
      <c r="A32" s="13"/>
      <c r="B32" s="15"/>
      <c r="C32" s="43"/>
      <c r="D32" s="43"/>
      <c r="E32" s="43"/>
      <c r="F32" s="43" t="s">
        <v>117</v>
      </c>
    </row>
    <row r="33" spans="1:6" ht="15.75" x14ac:dyDescent="0.25">
      <c r="A33" s="16" t="s">
        <v>35</v>
      </c>
      <c r="B33" s="5"/>
      <c r="C33" s="43">
        <v>15058499</v>
      </c>
      <c r="D33" s="43"/>
      <c r="E33" s="43">
        <v>17413694</v>
      </c>
      <c r="F33" s="43">
        <f t="shared" si="0"/>
        <v>115.64030385764212</v>
      </c>
    </row>
    <row r="34" spans="1:6" ht="15.75" x14ac:dyDescent="0.25">
      <c r="A34" s="25"/>
      <c r="B34" s="26"/>
      <c r="C34" s="47"/>
      <c r="D34" s="47"/>
      <c r="E34" s="47"/>
      <c r="F34" s="47" t="s">
        <v>117</v>
      </c>
    </row>
    <row r="35" spans="1:6" x14ac:dyDescent="0.25">
      <c r="F35" s="47"/>
    </row>
    <row r="36" spans="1:6" x14ac:dyDescent="0.25">
      <c r="A36" s="24" t="s">
        <v>112</v>
      </c>
      <c r="F36" s="58" t="s">
        <v>117</v>
      </c>
    </row>
    <row r="37" spans="1:6" ht="45" x14ac:dyDescent="0.25">
      <c r="A37" s="3" t="s">
        <v>17</v>
      </c>
      <c r="B37" s="2" t="s">
        <v>18</v>
      </c>
      <c r="C37" s="35" t="s">
        <v>36</v>
      </c>
      <c r="D37" s="45" t="s">
        <v>142</v>
      </c>
      <c r="E37" s="35" t="s">
        <v>138</v>
      </c>
      <c r="F37" s="57" t="s">
        <v>20</v>
      </c>
    </row>
    <row r="38" spans="1:6" x14ac:dyDescent="0.25">
      <c r="A38" s="13"/>
      <c r="B38" s="14">
        <v>1</v>
      </c>
      <c r="C38" s="46">
        <v>2</v>
      </c>
      <c r="D38" s="46">
        <v>3</v>
      </c>
      <c r="E38" s="46">
        <v>4</v>
      </c>
      <c r="F38" s="36" t="s">
        <v>116</v>
      </c>
    </row>
    <row r="39" spans="1:6" x14ac:dyDescent="0.25">
      <c r="A39" s="13" t="s">
        <v>93</v>
      </c>
      <c r="B39" s="5"/>
      <c r="C39" s="43">
        <v>174868</v>
      </c>
      <c r="D39" s="43">
        <v>169704</v>
      </c>
      <c r="E39" s="43">
        <v>169704</v>
      </c>
      <c r="F39" s="43">
        <f t="shared" si="0"/>
        <v>97.046915387606646</v>
      </c>
    </row>
    <row r="40" spans="1:6" x14ac:dyDescent="0.25">
      <c r="A40" s="17" t="s">
        <v>94</v>
      </c>
      <c r="B40" s="5"/>
      <c r="C40" s="43">
        <v>174868</v>
      </c>
      <c r="D40" s="43"/>
      <c r="E40" s="43">
        <v>169704</v>
      </c>
      <c r="F40" s="43">
        <f t="shared" si="0"/>
        <v>97.046915387606646</v>
      </c>
    </row>
    <row r="41" spans="1:6" x14ac:dyDescent="0.25">
      <c r="A41" s="17" t="s">
        <v>95</v>
      </c>
      <c r="B41" s="5"/>
      <c r="C41" s="43">
        <v>174868</v>
      </c>
      <c r="D41" s="43"/>
      <c r="E41" s="43">
        <v>169704</v>
      </c>
      <c r="F41" s="43">
        <f t="shared" si="0"/>
        <v>97.046915387606646</v>
      </c>
    </row>
    <row r="42" spans="1:6" x14ac:dyDescent="0.25">
      <c r="F42" s="43" t="s">
        <v>117</v>
      </c>
    </row>
    <row r="43" spans="1:6" x14ac:dyDescent="0.25">
      <c r="A43" s="13"/>
      <c r="B43" s="5" t="s">
        <v>96</v>
      </c>
      <c r="C43" s="43">
        <v>15058499</v>
      </c>
      <c r="D43" s="43"/>
      <c r="E43" s="43">
        <v>17413694</v>
      </c>
      <c r="F43" s="43">
        <f t="shared" si="0"/>
        <v>115.64030385764212</v>
      </c>
    </row>
    <row r="44" spans="1:6" x14ac:dyDescent="0.25">
      <c r="A44" s="13"/>
      <c r="B44" s="5" t="s">
        <v>97</v>
      </c>
      <c r="C44" s="43">
        <f>C41+C43</f>
        <v>15233367</v>
      </c>
      <c r="D44" s="43"/>
      <c r="E44" s="43">
        <f>E41+E43</f>
        <v>17583398</v>
      </c>
      <c r="F44" s="43">
        <f t="shared" si="0"/>
        <v>115.42686524915995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98"/>
  <sheetViews>
    <sheetView workbookViewId="0">
      <selection activeCell="B1" sqref="B1"/>
    </sheetView>
  </sheetViews>
  <sheetFormatPr defaultRowHeight="15" x14ac:dyDescent="0.25"/>
  <cols>
    <col min="1" max="1" width="10.85546875" style="10" customWidth="1"/>
    <col min="2" max="2" width="50.7109375" customWidth="1"/>
    <col min="3" max="3" width="14.5703125" style="44" customWidth="1"/>
    <col min="4" max="4" width="14.28515625" style="44" customWidth="1"/>
    <col min="5" max="5" width="16.85546875" style="44" customWidth="1"/>
    <col min="6" max="6" width="14.140625" style="44" customWidth="1"/>
    <col min="7" max="7" width="9.140625" customWidth="1"/>
    <col min="8" max="8" width="13.28515625" hidden="1" customWidth="1"/>
    <col min="9" max="9" width="18.85546875" hidden="1" customWidth="1"/>
    <col min="10" max="10" width="15.28515625" hidden="1" customWidth="1"/>
    <col min="11" max="11" width="13.28515625" hidden="1" customWidth="1"/>
    <col min="12" max="15" width="9.140625" customWidth="1"/>
  </cols>
  <sheetData>
    <row r="1" spans="1:10" x14ac:dyDescent="0.25">
      <c r="B1" s="18" t="s">
        <v>168</v>
      </c>
    </row>
    <row r="2" spans="1:10" ht="15.75" x14ac:dyDescent="0.25">
      <c r="A2" s="11"/>
      <c r="B2" s="18" t="s">
        <v>119</v>
      </c>
      <c r="C2" s="44" t="s">
        <v>143</v>
      </c>
    </row>
    <row r="4" spans="1:10" x14ac:dyDescent="0.25">
      <c r="A4" s="24" t="s">
        <v>153</v>
      </c>
    </row>
    <row r="5" spans="1:10" ht="39" x14ac:dyDescent="0.25">
      <c r="A5" s="3" t="s">
        <v>169</v>
      </c>
      <c r="B5" s="2" t="s">
        <v>18</v>
      </c>
      <c r="C5" s="35" t="s">
        <v>36</v>
      </c>
      <c r="D5" s="45" t="s">
        <v>145</v>
      </c>
      <c r="E5" s="35" t="s">
        <v>144</v>
      </c>
      <c r="F5" s="41" t="s">
        <v>20</v>
      </c>
    </row>
    <row r="6" spans="1:10" ht="15.75" x14ac:dyDescent="0.25">
      <c r="A6" s="3"/>
      <c r="B6" s="2">
        <v>1</v>
      </c>
      <c r="C6" s="45">
        <v>2</v>
      </c>
      <c r="D6" s="45">
        <v>3</v>
      </c>
      <c r="E6" s="45">
        <v>4</v>
      </c>
      <c r="F6" s="41" t="s">
        <v>150</v>
      </c>
      <c r="I6">
        <f>13330726</f>
        <v>13330726</v>
      </c>
    </row>
    <row r="7" spans="1:10" x14ac:dyDescent="0.25">
      <c r="A7" s="3">
        <v>31</v>
      </c>
      <c r="B7" s="7" t="s">
        <v>37</v>
      </c>
      <c r="C7" s="42">
        <f>5957+359788</f>
        <v>365745</v>
      </c>
      <c r="D7" s="42">
        <f>D9+D11+D13</f>
        <v>485831.32</v>
      </c>
      <c r="E7" s="42">
        <f>E9+E11+E13</f>
        <v>624683.51</v>
      </c>
      <c r="F7" s="42">
        <f>E7/D7*100</f>
        <v>128.58032907388514</v>
      </c>
      <c r="I7" s="53">
        <f>E7+E100+E137</f>
        <v>13330724.809999999</v>
      </c>
      <c r="J7" s="53">
        <f>I6-I7</f>
        <v>1.1900000013411045</v>
      </c>
    </row>
    <row r="8" spans="1:10" x14ac:dyDescent="0.25">
      <c r="A8" s="3">
        <v>311</v>
      </c>
      <c r="B8" s="7" t="s">
        <v>38</v>
      </c>
      <c r="C8" s="42">
        <f>4856+359788</f>
        <v>364644</v>
      </c>
      <c r="D8" s="42">
        <v>476195</v>
      </c>
      <c r="E8" s="42">
        <f>E9</f>
        <v>526430.89</v>
      </c>
      <c r="F8" s="42">
        <f t="shared" ref="F8:F69" si="0">E8/D8*100</f>
        <v>110.54943668035153</v>
      </c>
      <c r="I8" t="s">
        <v>117</v>
      </c>
    </row>
    <row r="9" spans="1:10" x14ac:dyDescent="0.25">
      <c r="A9" s="13">
        <v>3111</v>
      </c>
      <c r="B9" s="5" t="s">
        <v>39</v>
      </c>
      <c r="C9" s="43">
        <f>4856+359788</f>
        <v>364644</v>
      </c>
      <c r="D9" s="43">
        <f>425000+20635+12816+17744</f>
        <v>476195</v>
      </c>
      <c r="E9" s="43">
        <f>478712+33018.84+14700.05</f>
        <v>526430.89</v>
      </c>
      <c r="F9" s="42">
        <f t="shared" si="0"/>
        <v>110.54943668035153</v>
      </c>
      <c r="I9" s="53">
        <f>E9+E101+E138</f>
        <v>11018664.030000001</v>
      </c>
    </row>
    <row r="10" spans="1:10" x14ac:dyDescent="0.25">
      <c r="A10" s="3">
        <v>312</v>
      </c>
      <c r="B10" s="7" t="s">
        <v>40</v>
      </c>
      <c r="C10" s="42">
        <v>300</v>
      </c>
      <c r="D10" s="42">
        <v>1200</v>
      </c>
      <c r="E10" s="42">
        <f>E11</f>
        <v>12650</v>
      </c>
      <c r="F10" s="42">
        <f t="shared" si="0"/>
        <v>1054.1666666666665</v>
      </c>
      <c r="I10" s="53">
        <f>E13+E106+E145</f>
        <v>1823674.4699999997</v>
      </c>
    </row>
    <row r="11" spans="1:10" x14ac:dyDescent="0.25">
      <c r="A11" s="13">
        <v>3121</v>
      </c>
      <c r="B11" s="5" t="s">
        <v>40</v>
      </c>
      <c r="C11" s="43">
        <v>300</v>
      </c>
      <c r="D11" s="43">
        <f>562.5+637.5</f>
        <v>1200</v>
      </c>
      <c r="E11" s="43">
        <f>1650+11000</f>
        <v>12650</v>
      </c>
      <c r="F11" s="42">
        <f t="shared" si="0"/>
        <v>1054.1666666666665</v>
      </c>
      <c r="I11" s="53">
        <f>E9+E102+E139</f>
        <v>10681206.92</v>
      </c>
    </row>
    <row r="12" spans="1:10" s="18" customFormat="1" x14ac:dyDescent="0.25">
      <c r="A12" s="3">
        <v>313</v>
      </c>
      <c r="B12" s="7" t="s">
        <v>41</v>
      </c>
      <c r="C12" s="42">
        <v>801</v>
      </c>
      <c r="D12" s="42">
        <f>D13</f>
        <v>8436.32</v>
      </c>
      <c r="E12" s="42">
        <f>E13</f>
        <v>85602.62</v>
      </c>
      <c r="F12" s="42">
        <f t="shared" si="0"/>
        <v>1014.6914768524665</v>
      </c>
    </row>
    <row r="13" spans="1:10" x14ac:dyDescent="0.25">
      <c r="A13" s="13">
        <v>3132</v>
      </c>
      <c r="B13" s="6" t="s">
        <v>42</v>
      </c>
      <c r="C13" s="43">
        <v>801</v>
      </c>
      <c r="D13" s="43">
        <f>3409.34+2113.5+2913.48</f>
        <v>8436.32</v>
      </c>
      <c r="E13" s="43">
        <f>77729+5448.11+2425.51</f>
        <v>85602.62</v>
      </c>
      <c r="F13" s="42">
        <f t="shared" si="0"/>
        <v>1014.6914768524665</v>
      </c>
      <c r="I13" s="53">
        <f>E29+E116+E161</f>
        <v>269236.14</v>
      </c>
    </row>
    <row r="14" spans="1:10" ht="26.25" customHeight="1" x14ac:dyDescent="0.25">
      <c r="A14" s="13">
        <v>3133</v>
      </c>
      <c r="B14" s="6" t="s">
        <v>43</v>
      </c>
      <c r="C14" s="43"/>
      <c r="D14" s="43"/>
      <c r="E14" s="43"/>
      <c r="F14" s="42" t="s">
        <v>117</v>
      </c>
      <c r="I14" s="53">
        <f>E16+E108+E148</f>
        <v>666386.15</v>
      </c>
      <c r="J14">
        <f>666386.18-659692</f>
        <v>6694.1800000000512</v>
      </c>
    </row>
    <row r="15" spans="1:10" ht="21" customHeight="1" x14ac:dyDescent="0.25">
      <c r="A15" s="3">
        <v>32</v>
      </c>
      <c r="B15" s="7" t="s">
        <v>98</v>
      </c>
      <c r="C15" s="42">
        <f>C16+C21+C28+C38+C40+C49+C53+C56+C59</f>
        <v>1187132</v>
      </c>
      <c r="D15" s="42">
        <f>D16+D21+D28+D38+D40+D49+D53+D56+D59</f>
        <v>1391954.12</v>
      </c>
      <c r="E15" s="42">
        <f>E16+E21+E28+E38+E40</f>
        <v>1193380.5900000001</v>
      </c>
      <c r="F15" s="42">
        <f t="shared" si="0"/>
        <v>85.734190003331435</v>
      </c>
      <c r="H15" s="53"/>
      <c r="I15" s="53">
        <f>E15+E74+E80</f>
        <v>1387050.04</v>
      </c>
    </row>
    <row r="16" spans="1:10" x14ac:dyDescent="0.25">
      <c r="A16" s="3">
        <v>321</v>
      </c>
      <c r="B16" s="7" t="s">
        <v>44</v>
      </c>
      <c r="C16" s="42">
        <f>SUM(C17:C20)</f>
        <v>20437</v>
      </c>
      <c r="D16" s="42">
        <f>SUM(D17:D20)</f>
        <v>35941.86</v>
      </c>
      <c r="E16" s="42">
        <f>SUM(E17:E20)</f>
        <v>36961.89</v>
      </c>
      <c r="F16" s="42">
        <f t="shared" si="0"/>
        <v>102.83800003672599</v>
      </c>
    </row>
    <row r="17" spans="1:11" x14ac:dyDescent="0.25">
      <c r="A17" s="13">
        <v>3211</v>
      </c>
      <c r="B17" s="5" t="s">
        <v>45</v>
      </c>
      <c r="C17" s="43">
        <v>12155</v>
      </c>
      <c r="D17" s="43">
        <f>22000+30+30</f>
        <v>22060</v>
      </c>
      <c r="E17" s="43">
        <f>20205+60+600</f>
        <v>20865</v>
      </c>
      <c r="F17" s="42">
        <f t="shared" si="0"/>
        <v>94.582955575702627</v>
      </c>
      <c r="H17" s="53"/>
      <c r="I17" s="53">
        <f>E15+E48+E53</f>
        <v>1206630.5900000001</v>
      </c>
    </row>
    <row r="18" spans="1:11" x14ac:dyDescent="0.25">
      <c r="A18" s="13">
        <v>3212</v>
      </c>
      <c r="B18" s="6" t="s">
        <v>46</v>
      </c>
      <c r="C18" s="43">
        <f>1252</f>
        <v>1252</v>
      </c>
      <c r="D18" s="43">
        <f>1119.36+652.5+110</f>
        <v>1881.86</v>
      </c>
      <c r="E18" s="43">
        <f>2191.89+110</f>
        <v>2301.89</v>
      </c>
      <c r="F18" s="42">
        <f t="shared" si="0"/>
        <v>122.31993878396905</v>
      </c>
    </row>
    <row r="19" spans="1:11" x14ac:dyDescent="0.25">
      <c r="A19" s="13">
        <v>3213</v>
      </c>
      <c r="B19" s="6" t="s">
        <v>49</v>
      </c>
      <c r="C19" s="43">
        <v>1450</v>
      </c>
      <c r="D19" s="43">
        <v>4000</v>
      </c>
      <c r="E19" s="43">
        <v>3707</v>
      </c>
      <c r="F19" s="42">
        <f t="shared" si="0"/>
        <v>92.674999999999997</v>
      </c>
      <c r="I19" s="53">
        <f>E16+E108+E148</f>
        <v>666386.15</v>
      </c>
    </row>
    <row r="20" spans="1:11" x14ac:dyDescent="0.25">
      <c r="A20" s="13">
        <v>3214</v>
      </c>
      <c r="B20" s="6" t="s">
        <v>50</v>
      </c>
      <c r="C20" s="43">
        <v>5580</v>
      </c>
      <c r="D20" s="43">
        <v>8000</v>
      </c>
      <c r="E20" s="43">
        <v>10088</v>
      </c>
      <c r="F20" s="42">
        <f t="shared" si="0"/>
        <v>126.1</v>
      </c>
    </row>
    <row r="21" spans="1:11" x14ac:dyDescent="0.25">
      <c r="A21" s="3">
        <v>322</v>
      </c>
      <c r="B21" s="7" t="s">
        <v>47</v>
      </c>
      <c r="C21" s="42">
        <f>SUM(C22:C27)</f>
        <v>635102</v>
      </c>
      <c r="D21" s="42">
        <f>SUM(D22:D27)</f>
        <v>852950</v>
      </c>
      <c r="E21" s="42">
        <f>SUM(E22:E27)</f>
        <v>901426.88</v>
      </c>
      <c r="F21" s="42">
        <f t="shared" si="0"/>
        <v>105.68343748168122</v>
      </c>
      <c r="I21" s="53">
        <f>E18+E109+E150</f>
        <v>393527.65999999992</v>
      </c>
      <c r="J21">
        <v>386833.51</v>
      </c>
      <c r="K21" s="53">
        <f>I21-J21</f>
        <v>6694.1499999999069</v>
      </c>
    </row>
    <row r="22" spans="1:11" x14ac:dyDescent="0.25">
      <c r="A22" s="13">
        <v>3221</v>
      </c>
      <c r="B22" s="21" t="s">
        <v>48</v>
      </c>
      <c r="C22" s="43">
        <v>179767</v>
      </c>
      <c r="D22" s="43">
        <v>170000</v>
      </c>
      <c r="E22" s="43">
        <f>172471.76+2661.1</f>
        <v>175132.86000000002</v>
      </c>
      <c r="F22" s="42">
        <f t="shared" si="0"/>
        <v>103.0193294117647</v>
      </c>
    </row>
    <row r="23" spans="1:11" x14ac:dyDescent="0.25">
      <c r="A23" s="13">
        <v>3222</v>
      </c>
      <c r="B23" s="6" t="s">
        <v>51</v>
      </c>
      <c r="C23" s="43">
        <v>18145</v>
      </c>
      <c r="D23" s="43">
        <f>14000+210000</f>
        <v>224000</v>
      </c>
      <c r="E23" s="43">
        <f>16359.67+180355.5+626.69</f>
        <v>197341.86000000002</v>
      </c>
      <c r="F23" s="42">
        <f t="shared" si="0"/>
        <v>88.099044642857152</v>
      </c>
      <c r="I23" s="53">
        <f>E26+E79+E158</f>
        <v>42396.99</v>
      </c>
    </row>
    <row r="24" spans="1:11" x14ac:dyDescent="0.25">
      <c r="A24" s="13">
        <v>3223</v>
      </c>
      <c r="B24" s="6" t="s">
        <v>52</v>
      </c>
      <c r="C24" s="43">
        <f>347680-15898-8918</f>
        <v>322864</v>
      </c>
      <c r="D24" s="43">
        <f>433950</f>
        <v>433950</v>
      </c>
      <c r="E24" s="43">
        <f>31618.59+428311.64+8000+31453</f>
        <v>499383.23000000004</v>
      </c>
      <c r="F24" s="42">
        <f t="shared" si="0"/>
        <v>115.07851826247264</v>
      </c>
      <c r="I24" s="53">
        <f>E24+E76+E114</f>
        <v>640282.23</v>
      </c>
    </row>
    <row r="25" spans="1:11" x14ac:dyDescent="0.25">
      <c r="A25" s="13">
        <v>3224</v>
      </c>
      <c r="B25" s="6" t="s">
        <v>53</v>
      </c>
      <c r="C25" s="43">
        <v>10522</v>
      </c>
      <c r="D25" s="43">
        <v>10000</v>
      </c>
      <c r="E25" s="43">
        <v>12205.44</v>
      </c>
      <c r="F25" s="42">
        <f t="shared" si="0"/>
        <v>122.0544</v>
      </c>
    </row>
    <row r="26" spans="1:11" x14ac:dyDescent="0.25">
      <c r="A26" s="13">
        <v>3225</v>
      </c>
      <c r="B26" s="6" t="s">
        <v>54</v>
      </c>
      <c r="C26" s="43">
        <v>90000</v>
      </c>
      <c r="D26" s="43">
        <v>5000</v>
      </c>
      <c r="E26" s="43">
        <f>3813.49+3762</f>
        <v>7575.49</v>
      </c>
      <c r="F26" s="42">
        <f t="shared" si="0"/>
        <v>151.50980000000001</v>
      </c>
    </row>
    <row r="27" spans="1:11" x14ac:dyDescent="0.25">
      <c r="A27" s="13">
        <v>3227</v>
      </c>
      <c r="B27" s="6" t="s">
        <v>55</v>
      </c>
      <c r="C27" s="43">
        <v>13804</v>
      </c>
      <c r="D27" s="43">
        <v>10000</v>
      </c>
      <c r="E27" s="43">
        <v>9788</v>
      </c>
      <c r="F27" s="42">
        <f t="shared" si="0"/>
        <v>97.88</v>
      </c>
      <c r="I27" s="53">
        <f>E22+E112+E154</f>
        <v>195338.69000000003</v>
      </c>
    </row>
    <row r="28" spans="1:11" s="18" customFormat="1" x14ac:dyDescent="0.25">
      <c r="A28" s="3">
        <v>323</v>
      </c>
      <c r="B28" s="8" t="s">
        <v>56</v>
      </c>
      <c r="C28" s="42">
        <f>SUM(C29:C37)</f>
        <v>282370</v>
      </c>
      <c r="D28" s="42">
        <f>SUM(D29:D37)</f>
        <v>247512.26</v>
      </c>
      <c r="E28" s="42">
        <f>SUM(E29:E37)</f>
        <v>247852.24000000002</v>
      </c>
      <c r="F28" s="42">
        <f t="shared" si="0"/>
        <v>100.13735885244634</v>
      </c>
    </row>
    <row r="29" spans="1:11" x14ac:dyDescent="0.25">
      <c r="A29" s="13">
        <v>3231</v>
      </c>
      <c r="B29" s="6" t="s">
        <v>57</v>
      </c>
      <c r="C29" s="43">
        <v>24009</v>
      </c>
      <c r="D29" s="43">
        <v>40000</v>
      </c>
      <c r="E29" s="43">
        <f>2800+36630.69</f>
        <v>39430.69</v>
      </c>
      <c r="F29" s="42">
        <f t="shared" si="0"/>
        <v>98.57672500000001</v>
      </c>
    </row>
    <row r="30" spans="1:11" x14ac:dyDescent="0.25">
      <c r="A30" s="13">
        <v>3232</v>
      </c>
      <c r="B30" s="6" t="s">
        <v>58</v>
      </c>
      <c r="C30" s="43">
        <v>85248</v>
      </c>
      <c r="D30" s="43">
        <v>25000</v>
      </c>
      <c r="E30" s="43">
        <v>23817.24</v>
      </c>
      <c r="F30" s="42">
        <f t="shared" si="0"/>
        <v>95.268960000000007</v>
      </c>
      <c r="H30" s="26"/>
      <c r="I30" s="53">
        <f>E15+E74+E80+E107+E147</f>
        <v>3220868.77</v>
      </c>
    </row>
    <row r="31" spans="1:11" x14ac:dyDescent="0.25">
      <c r="A31" s="13">
        <v>3233</v>
      </c>
      <c r="B31" s="6" t="s">
        <v>59</v>
      </c>
      <c r="C31" s="43">
        <v>3349</v>
      </c>
      <c r="D31" s="43">
        <v>500</v>
      </c>
      <c r="E31" s="43">
        <v>710</v>
      </c>
      <c r="F31" s="42">
        <f t="shared" si="0"/>
        <v>142</v>
      </c>
      <c r="H31" s="59"/>
    </row>
    <row r="32" spans="1:11" x14ac:dyDescent="0.25">
      <c r="A32" s="13">
        <v>3234</v>
      </c>
      <c r="B32" s="6" t="s">
        <v>60</v>
      </c>
      <c r="C32" s="43">
        <v>49332</v>
      </c>
      <c r="D32" s="43">
        <v>50000</v>
      </c>
      <c r="E32" s="43">
        <v>52614.71</v>
      </c>
      <c r="F32" s="42">
        <f t="shared" si="0"/>
        <v>105.22941999999999</v>
      </c>
      <c r="H32" s="47"/>
    </row>
    <row r="33" spans="1:10" x14ac:dyDescent="0.25">
      <c r="A33" s="13">
        <v>3235</v>
      </c>
      <c r="B33" s="6" t="s">
        <v>61</v>
      </c>
      <c r="C33" s="43">
        <v>12847</v>
      </c>
      <c r="D33" s="43">
        <v>15000</v>
      </c>
      <c r="E33" s="43">
        <v>15559.89</v>
      </c>
      <c r="F33" s="42">
        <f t="shared" si="0"/>
        <v>103.73259999999999</v>
      </c>
      <c r="H33" s="59"/>
    </row>
    <row r="34" spans="1:10" x14ac:dyDescent="0.25">
      <c r="A34" s="13">
        <v>3236</v>
      </c>
      <c r="B34" s="6" t="s">
        <v>62</v>
      </c>
      <c r="C34" s="43">
        <v>32849</v>
      </c>
      <c r="D34" s="43">
        <v>45000</v>
      </c>
      <c r="E34" s="43">
        <v>45772.32</v>
      </c>
      <c r="F34" s="42">
        <f t="shared" si="0"/>
        <v>101.71626666666667</v>
      </c>
      <c r="H34" s="26"/>
      <c r="I34" s="53">
        <f>E35+E82+E119+E167</f>
        <v>78263.86</v>
      </c>
    </row>
    <row r="35" spans="1:10" x14ac:dyDescent="0.25">
      <c r="A35" s="13">
        <v>3237</v>
      </c>
      <c r="B35" s="6" t="s">
        <v>63</v>
      </c>
      <c r="C35" s="43">
        <v>28773</v>
      </c>
      <c r="D35" s="43">
        <v>22000</v>
      </c>
      <c r="E35" s="43">
        <v>22173.84</v>
      </c>
      <c r="F35" s="42">
        <f t="shared" si="0"/>
        <v>100.79018181818182</v>
      </c>
      <c r="H35" s="26"/>
      <c r="I35">
        <f>24673-22174</f>
        <v>2499</v>
      </c>
    </row>
    <row r="36" spans="1:10" x14ac:dyDescent="0.25">
      <c r="A36" s="13">
        <v>3238</v>
      </c>
      <c r="B36" s="6" t="s">
        <v>64</v>
      </c>
      <c r="C36" s="43">
        <v>34170</v>
      </c>
      <c r="D36" s="43">
        <f>25000+15012.26</f>
        <v>40012.26</v>
      </c>
      <c r="E36" s="43">
        <v>40000</v>
      </c>
      <c r="F36" s="42">
        <f t="shared" si="0"/>
        <v>99.969359391346543</v>
      </c>
    </row>
    <row r="37" spans="1:10" x14ac:dyDescent="0.25">
      <c r="A37" s="13">
        <v>3239</v>
      </c>
      <c r="B37" s="6" t="s">
        <v>65</v>
      </c>
      <c r="C37" s="43">
        <v>11793</v>
      </c>
      <c r="D37" s="43">
        <v>10000</v>
      </c>
      <c r="E37" s="43">
        <v>7773.55</v>
      </c>
      <c r="F37" s="42">
        <f t="shared" si="0"/>
        <v>77.735500000000002</v>
      </c>
    </row>
    <row r="38" spans="1:10" x14ac:dyDescent="0.25">
      <c r="A38" s="3">
        <v>324</v>
      </c>
      <c r="B38" s="8" t="s">
        <v>66</v>
      </c>
      <c r="C38" s="42">
        <v>472</v>
      </c>
      <c r="D38" s="42">
        <v>0</v>
      </c>
      <c r="E38" s="42">
        <v>0</v>
      </c>
      <c r="F38" s="42"/>
      <c r="I38" s="53">
        <f>E16+E108+E148</f>
        <v>666386.15</v>
      </c>
      <c r="J38">
        <f>666774-666386</f>
        <v>388</v>
      </c>
    </row>
    <row r="39" spans="1:10" x14ac:dyDescent="0.25">
      <c r="A39" s="13">
        <v>3241</v>
      </c>
      <c r="B39" s="6" t="s">
        <v>66</v>
      </c>
      <c r="C39" s="43">
        <v>472</v>
      </c>
      <c r="D39" s="43"/>
      <c r="E39" s="43"/>
      <c r="F39" s="42"/>
    </row>
    <row r="40" spans="1:10" s="18" customFormat="1" x14ac:dyDescent="0.25">
      <c r="A40" s="3">
        <v>329</v>
      </c>
      <c r="B40" s="8" t="s">
        <v>67</v>
      </c>
      <c r="C40" s="42">
        <f>SUM(C43:C47)</f>
        <v>6932</v>
      </c>
      <c r="D40" s="42">
        <f>SUM(D43:D47)</f>
        <v>22300</v>
      </c>
      <c r="E40" s="42">
        <f>SUM(E43:E47)</f>
        <v>7139.58</v>
      </c>
      <c r="F40" s="42">
        <f t="shared" si="0"/>
        <v>32.016053811659191</v>
      </c>
    </row>
    <row r="41" spans="1:10" x14ac:dyDescent="0.25">
      <c r="A41" s="13">
        <v>3291</v>
      </c>
      <c r="B41" s="6" t="s">
        <v>68</v>
      </c>
      <c r="C41" s="43"/>
      <c r="D41" s="43"/>
      <c r="E41" s="43"/>
      <c r="F41" s="42"/>
      <c r="I41" s="53">
        <f>E23+E113+E155</f>
        <v>748181.44</v>
      </c>
    </row>
    <row r="42" spans="1:10" x14ac:dyDescent="0.25">
      <c r="A42" s="13">
        <v>3292</v>
      </c>
      <c r="B42" s="6" t="s">
        <v>69</v>
      </c>
      <c r="C42" s="43"/>
      <c r="D42" s="43"/>
      <c r="E42" s="43"/>
      <c r="F42" s="42"/>
    </row>
    <row r="43" spans="1:10" x14ac:dyDescent="0.25">
      <c r="A43" s="13">
        <v>3293</v>
      </c>
      <c r="B43" s="6" t="s">
        <v>70</v>
      </c>
      <c r="C43" s="43">
        <v>1322</v>
      </c>
      <c r="D43" s="43">
        <v>1000</v>
      </c>
      <c r="E43" s="43">
        <v>639.58000000000004</v>
      </c>
      <c r="F43" s="42">
        <f t="shared" si="0"/>
        <v>63.958000000000006</v>
      </c>
    </row>
    <row r="44" spans="1:10" x14ac:dyDescent="0.25">
      <c r="A44" s="13">
        <v>3294</v>
      </c>
      <c r="B44" s="6" t="s">
        <v>71</v>
      </c>
      <c r="C44" s="43">
        <v>300</v>
      </c>
      <c r="D44" s="43">
        <v>1000</v>
      </c>
      <c r="E44" s="43">
        <v>400</v>
      </c>
      <c r="F44" s="42">
        <f t="shared" si="0"/>
        <v>40</v>
      </c>
    </row>
    <row r="45" spans="1:10" x14ac:dyDescent="0.25">
      <c r="A45" s="13">
        <v>3295</v>
      </c>
      <c r="B45" s="6" t="s">
        <v>72</v>
      </c>
      <c r="C45" s="43"/>
      <c r="D45" s="43">
        <v>300</v>
      </c>
      <c r="E45" s="43"/>
      <c r="F45" s="42">
        <f t="shared" si="0"/>
        <v>0</v>
      </c>
      <c r="I45" s="53">
        <f>E15+E48+E53+E56+E63+E74+E79+E85+E86+E88+E90+E92+E107+E125+E127+E129+E147+E180+E185+E192+E195-440834</f>
        <v>3662441.0510000004</v>
      </c>
    </row>
    <row r="46" spans="1:10" x14ac:dyDescent="0.25">
      <c r="A46" s="13">
        <v>3296</v>
      </c>
      <c r="B46" s="6" t="s">
        <v>73</v>
      </c>
      <c r="C46" s="43"/>
      <c r="D46" s="43"/>
      <c r="E46" s="43"/>
      <c r="F46" s="42"/>
    </row>
    <row r="47" spans="1:10" x14ac:dyDescent="0.25">
      <c r="A47" s="13">
        <v>3299</v>
      </c>
      <c r="B47" s="6" t="s">
        <v>67</v>
      </c>
      <c r="C47" s="43">
        <v>5310</v>
      </c>
      <c r="D47" s="43">
        <f>5000+15000</f>
        <v>20000</v>
      </c>
      <c r="E47" s="43">
        <v>6100</v>
      </c>
      <c r="F47" s="42">
        <f t="shared" si="0"/>
        <v>30.5</v>
      </c>
      <c r="I47">
        <f>3220753.69+46205.81+375725.63+8748+440833.9</f>
        <v>4092267.03</v>
      </c>
    </row>
    <row r="48" spans="1:10" x14ac:dyDescent="0.25">
      <c r="A48" s="3">
        <v>34</v>
      </c>
      <c r="B48" s="8" t="s">
        <v>74</v>
      </c>
      <c r="C48" s="42">
        <f>C49</f>
        <v>7077</v>
      </c>
      <c r="D48" s="42">
        <f>D49</f>
        <v>8250</v>
      </c>
      <c r="E48" s="42">
        <f>E49</f>
        <v>8250</v>
      </c>
      <c r="F48" s="42">
        <f t="shared" si="0"/>
        <v>100</v>
      </c>
      <c r="I48" s="53">
        <f>I45-I47</f>
        <v>-429825.97899999935</v>
      </c>
    </row>
    <row r="49" spans="1:6" x14ac:dyDescent="0.25">
      <c r="A49" s="3">
        <v>343</v>
      </c>
      <c r="B49" s="8" t="s">
        <v>75</v>
      </c>
      <c r="C49" s="42">
        <f>SUM(C50:C52)</f>
        <v>7077</v>
      </c>
      <c r="D49" s="42">
        <f>SUM(D50:D52)</f>
        <v>8250</v>
      </c>
      <c r="E49" s="42">
        <f>SUM(E50:E52)</f>
        <v>8250</v>
      </c>
      <c r="F49" s="42">
        <f t="shared" si="0"/>
        <v>100</v>
      </c>
    </row>
    <row r="50" spans="1:6" x14ac:dyDescent="0.25">
      <c r="A50" s="13">
        <v>3431</v>
      </c>
      <c r="B50" s="6" t="s">
        <v>76</v>
      </c>
      <c r="C50" s="43">
        <v>6452</v>
      </c>
      <c r="D50" s="43">
        <v>8000</v>
      </c>
      <c r="E50" s="43">
        <v>8000</v>
      </c>
      <c r="F50" s="42">
        <f t="shared" si="0"/>
        <v>100</v>
      </c>
    </row>
    <row r="51" spans="1:6" x14ac:dyDescent="0.25">
      <c r="A51" s="13">
        <v>3433</v>
      </c>
      <c r="B51" s="6" t="s">
        <v>77</v>
      </c>
      <c r="C51" s="43">
        <v>50</v>
      </c>
      <c r="D51" s="43"/>
      <c r="E51" s="43"/>
      <c r="F51" s="42"/>
    </row>
    <row r="52" spans="1:6" x14ac:dyDescent="0.25">
      <c r="A52" s="13">
        <v>3434</v>
      </c>
      <c r="B52" s="6" t="s">
        <v>78</v>
      </c>
      <c r="C52" s="43">
        <v>575</v>
      </c>
      <c r="D52" s="43">
        <v>250</v>
      </c>
      <c r="E52" s="43">
        <v>250</v>
      </c>
      <c r="F52" s="42">
        <f t="shared" si="0"/>
        <v>100</v>
      </c>
    </row>
    <row r="53" spans="1:6" ht="30" x14ac:dyDescent="0.25">
      <c r="A53" s="3">
        <v>371</v>
      </c>
      <c r="B53" s="8" t="s">
        <v>147</v>
      </c>
      <c r="C53" s="42">
        <v>10981</v>
      </c>
      <c r="D53" s="42">
        <v>5000</v>
      </c>
      <c r="E53" s="42">
        <v>5000</v>
      </c>
      <c r="F53" s="42">
        <f t="shared" si="0"/>
        <v>100</v>
      </c>
    </row>
    <row r="54" spans="1:6" ht="30" x14ac:dyDescent="0.25">
      <c r="A54" s="13">
        <v>3711</v>
      </c>
      <c r="B54" s="6" t="s">
        <v>79</v>
      </c>
      <c r="C54" s="43"/>
      <c r="D54" s="43"/>
      <c r="E54" s="43"/>
      <c r="F54" s="42"/>
    </row>
    <row r="55" spans="1:6" x14ac:dyDescent="0.25">
      <c r="A55" s="13">
        <v>3712</v>
      </c>
      <c r="B55" s="6" t="s">
        <v>120</v>
      </c>
      <c r="C55" s="43">
        <v>10981</v>
      </c>
      <c r="D55" s="43">
        <v>5000</v>
      </c>
      <c r="E55" s="43">
        <v>5000</v>
      </c>
      <c r="F55" s="42">
        <f t="shared" si="0"/>
        <v>100</v>
      </c>
    </row>
    <row r="56" spans="1:6" x14ac:dyDescent="0.25">
      <c r="A56" s="3">
        <v>372</v>
      </c>
      <c r="B56" s="8" t="s">
        <v>146</v>
      </c>
      <c r="C56" s="42"/>
      <c r="D56" s="42">
        <v>220000</v>
      </c>
      <c r="E56" s="42">
        <v>220000</v>
      </c>
      <c r="F56" s="42">
        <f t="shared" si="0"/>
        <v>100</v>
      </c>
    </row>
    <row r="57" spans="1:6" x14ac:dyDescent="0.25">
      <c r="A57" s="13">
        <v>3722</v>
      </c>
      <c r="B57" s="6" t="s">
        <v>148</v>
      </c>
      <c r="C57" s="43"/>
      <c r="D57" s="43">
        <v>220000</v>
      </c>
      <c r="E57" s="43">
        <v>220000</v>
      </c>
      <c r="F57" s="42">
        <f t="shared" si="0"/>
        <v>100</v>
      </c>
    </row>
    <row r="58" spans="1:6" x14ac:dyDescent="0.25">
      <c r="A58" s="3">
        <v>38</v>
      </c>
      <c r="B58" s="8" t="s">
        <v>40</v>
      </c>
      <c r="C58" s="42"/>
      <c r="D58" s="42"/>
      <c r="E58" s="42"/>
      <c r="F58" s="42"/>
    </row>
    <row r="59" spans="1:6" x14ac:dyDescent="0.25">
      <c r="A59" s="3">
        <v>381</v>
      </c>
      <c r="B59" s="8" t="s">
        <v>81</v>
      </c>
      <c r="C59" s="42">
        <v>223761</v>
      </c>
      <c r="D59" s="42"/>
      <c r="E59" s="42"/>
      <c r="F59" s="42"/>
    </row>
    <row r="60" spans="1:6" x14ac:dyDescent="0.25">
      <c r="A60" s="13">
        <v>3811</v>
      </c>
      <c r="B60" s="6" t="s">
        <v>82</v>
      </c>
      <c r="C60" s="43">
        <v>223761</v>
      </c>
      <c r="D60" s="43"/>
      <c r="E60" s="43"/>
      <c r="F60" s="42"/>
    </row>
    <row r="61" spans="1:6" x14ac:dyDescent="0.25">
      <c r="A61" s="13">
        <v>3812</v>
      </c>
      <c r="B61" s="6" t="s">
        <v>83</v>
      </c>
      <c r="C61" s="43"/>
      <c r="D61" s="43"/>
      <c r="E61" s="43"/>
      <c r="F61" s="42"/>
    </row>
    <row r="62" spans="1:6" x14ac:dyDescent="0.25">
      <c r="A62" s="3">
        <v>4</v>
      </c>
      <c r="B62" s="8" t="s">
        <v>90</v>
      </c>
      <c r="C62" s="42"/>
      <c r="D62" s="42"/>
      <c r="E62" s="42"/>
      <c r="F62" s="42"/>
    </row>
    <row r="63" spans="1:6" x14ac:dyDescent="0.25">
      <c r="A63" s="3">
        <v>421</v>
      </c>
      <c r="B63" s="8" t="s">
        <v>85</v>
      </c>
      <c r="C63" s="42"/>
      <c r="D63" s="42"/>
      <c r="E63" s="42">
        <v>14792.5</v>
      </c>
      <c r="F63" s="42"/>
    </row>
    <row r="64" spans="1:6" x14ac:dyDescent="0.25">
      <c r="A64" s="3">
        <v>422</v>
      </c>
      <c r="B64" s="8" t="s">
        <v>84</v>
      </c>
      <c r="C64" s="42"/>
      <c r="D64" s="42"/>
      <c r="E64" s="42"/>
      <c r="F64" s="42"/>
    </row>
    <row r="65" spans="1:6" hidden="1" x14ac:dyDescent="0.25">
      <c r="A65" s="13">
        <v>4221</v>
      </c>
      <c r="B65" s="6" t="s">
        <v>86</v>
      </c>
      <c r="C65" s="43"/>
      <c r="D65" s="43"/>
      <c r="E65" s="43"/>
      <c r="F65" s="42"/>
    </row>
    <row r="66" spans="1:6" hidden="1" x14ac:dyDescent="0.25">
      <c r="A66" s="13">
        <v>4222</v>
      </c>
      <c r="B66" s="6" t="s">
        <v>87</v>
      </c>
      <c r="C66" s="43"/>
      <c r="D66" s="43"/>
      <c r="E66" s="43"/>
      <c r="F66" s="42"/>
    </row>
    <row r="67" spans="1:6" x14ac:dyDescent="0.25">
      <c r="A67" s="3">
        <v>424</v>
      </c>
      <c r="B67" s="8" t="s">
        <v>88</v>
      </c>
      <c r="C67" s="42"/>
      <c r="D67" s="42"/>
      <c r="E67" s="42"/>
      <c r="F67" s="42"/>
    </row>
    <row r="68" spans="1:6" x14ac:dyDescent="0.25">
      <c r="A68" s="13">
        <v>4241</v>
      </c>
      <c r="B68" s="6" t="s">
        <v>89</v>
      </c>
      <c r="C68" s="43"/>
      <c r="D68" s="43"/>
      <c r="E68" s="43"/>
      <c r="F68" s="42"/>
    </row>
    <row r="69" spans="1:6" x14ac:dyDescent="0.25">
      <c r="A69" s="13"/>
      <c r="B69" s="9" t="s">
        <v>99</v>
      </c>
      <c r="C69" s="43">
        <v>1560468</v>
      </c>
      <c r="D69" s="43">
        <f>D7+D15+D49+D53+D56+D63</f>
        <v>2111035.4400000004</v>
      </c>
      <c r="E69" s="43">
        <f>E7+E15+E49+E53+E56+E63</f>
        <v>2066106.6</v>
      </c>
      <c r="F69" s="42">
        <f t="shared" si="0"/>
        <v>97.871715502796093</v>
      </c>
    </row>
    <row r="70" spans="1:6" x14ac:dyDescent="0.25">
      <c r="A70" s="27"/>
      <c r="B70" s="28"/>
      <c r="C70" s="47"/>
      <c r="D70" s="47"/>
      <c r="E70" s="47"/>
      <c r="F70" s="61"/>
    </row>
    <row r="71" spans="1:6" x14ac:dyDescent="0.25">
      <c r="A71" s="24" t="s">
        <v>154</v>
      </c>
    </row>
    <row r="72" spans="1:6" ht="25.5" customHeight="1" x14ac:dyDescent="0.25">
      <c r="A72" s="3" t="s">
        <v>169</v>
      </c>
      <c r="B72" s="2" t="s">
        <v>18</v>
      </c>
      <c r="C72" s="45" t="s">
        <v>36</v>
      </c>
      <c r="D72" s="45" t="s">
        <v>145</v>
      </c>
      <c r="E72" s="35" t="s">
        <v>144</v>
      </c>
      <c r="F72" s="41" t="s">
        <v>20</v>
      </c>
    </row>
    <row r="73" spans="1:6" ht="15.75" x14ac:dyDescent="0.25">
      <c r="A73" s="3"/>
      <c r="B73" s="2">
        <v>1</v>
      </c>
      <c r="C73" s="45">
        <v>4</v>
      </c>
      <c r="D73" s="45">
        <v>3</v>
      </c>
      <c r="E73" s="45">
        <v>4</v>
      </c>
      <c r="F73" s="41" t="s">
        <v>150</v>
      </c>
    </row>
    <row r="74" spans="1:6" x14ac:dyDescent="0.25">
      <c r="A74" s="3">
        <v>322</v>
      </c>
      <c r="B74" s="7" t="s">
        <v>47</v>
      </c>
      <c r="C74" s="42">
        <f>SUM(C77:C79)</f>
        <v>48652</v>
      </c>
      <c r="D74" s="42">
        <f>SUM(D75:D84)</f>
        <v>129703.92</v>
      </c>
      <c r="E74" s="42">
        <f>SUM(E75:E79)</f>
        <v>170899</v>
      </c>
      <c r="F74" s="42">
        <f>E74/D74*100</f>
        <v>131.76085965636196</v>
      </c>
    </row>
    <row r="75" spans="1:6" x14ac:dyDescent="0.25">
      <c r="A75" s="13">
        <v>3221</v>
      </c>
      <c r="B75" s="21" t="s">
        <v>48</v>
      </c>
      <c r="C75" s="43"/>
      <c r="D75" s="43">
        <v>11000</v>
      </c>
      <c r="E75" s="43"/>
      <c r="F75" s="42"/>
    </row>
    <row r="76" spans="1:6" x14ac:dyDescent="0.25">
      <c r="A76" s="13">
        <v>3223</v>
      </c>
      <c r="B76" s="6" t="s">
        <v>52</v>
      </c>
      <c r="C76" s="43"/>
      <c r="D76" s="43">
        <v>108703.92</v>
      </c>
      <c r="E76" s="43">
        <f>70000+70899</f>
        <v>140899</v>
      </c>
      <c r="F76" s="42">
        <f>E76/D76*100</f>
        <v>129.6172207957174</v>
      </c>
    </row>
    <row r="77" spans="1:6" x14ac:dyDescent="0.25">
      <c r="A77" s="13">
        <v>3224</v>
      </c>
      <c r="B77" s="6" t="s">
        <v>53</v>
      </c>
      <c r="C77" s="43">
        <f>118702-85248-20802</f>
        <v>12652</v>
      </c>
      <c r="D77" s="43"/>
      <c r="E77" s="43"/>
      <c r="F77" s="42"/>
    </row>
    <row r="78" spans="1:6" x14ac:dyDescent="0.25">
      <c r="A78" s="13">
        <v>3299</v>
      </c>
      <c r="B78" s="6" t="s">
        <v>129</v>
      </c>
      <c r="C78" s="43"/>
      <c r="D78" s="43">
        <v>4900</v>
      </c>
      <c r="E78" s="43"/>
      <c r="F78" s="42">
        <f t="shared" ref="F78:F95" si="1">E78/D78*100</f>
        <v>0</v>
      </c>
    </row>
    <row r="79" spans="1:6" x14ac:dyDescent="0.25">
      <c r="A79" s="13">
        <v>3225</v>
      </c>
      <c r="B79" s="6" t="s">
        <v>54</v>
      </c>
      <c r="C79" s="43">
        <v>36000</v>
      </c>
      <c r="D79" s="43"/>
      <c r="E79" s="43">
        <v>30000</v>
      </c>
      <c r="F79" s="42"/>
    </row>
    <row r="80" spans="1:6" s="18" customFormat="1" x14ac:dyDescent="0.25">
      <c r="A80" s="3">
        <v>323</v>
      </c>
      <c r="B80" s="8" t="s">
        <v>56</v>
      </c>
      <c r="C80" s="42"/>
      <c r="D80" s="42"/>
      <c r="E80" s="42">
        <f>SUM(E81:E86)</f>
        <v>22770.45</v>
      </c>
      <c r="F80" s="42"/>
    </row>
    <row r="81" spans="1:9 16384:16384" s="19" customFormat="1" x14ac:dyDescent="0.25">
      <c r="A81" s="20">
        <v>3236</v>
      </c>
      <c r="B81" s="15" t="s">
        <v>62</v>
      </c>
      <c r="C81" s="51"/>
      <c r="D81" s="51"/>
      <c r="E81" s="51">
        <v>10000</v>
      </c>
      <c r="F81" s="51"/>
    </row>
    <row r="82" spans="1:9 16384:16384" s="19" customFormat="1" x14ac:dyDescent="0.25">
      <c r="A82" s="20">
        <v>3237</v>
      </c>
      <c r="B82" s="15" t="s">
        <v>63</v>
      </c>
      <c r="C82" s="51"/>
      <c r="D82" s="51"/>
      <c r="E82" s="51">
        <v>2499</v>
      </c>
      <c r="F82" s="51"/>
    </row>
    <row r="83" spans="1:9 16384:16384" x14ac:dyDescent="0.25">
      <c r="A83" s="13">
        <v>3238</v>
      </c>
      <c r="B83" s="6" t="s">
        <v>64</v>
      </c>
      <c r="C83" s="43"/>
      <c r="D83" s="43"/>
      <c r="E83" s="43">
        <v>479.45</v>
      </c>
      <c r="F83" s="42"/>
      <c r="I83" s="53">
        <f>E69+E95+E132+E197</f>
        <v>17422993.310999997</v>
      </c>
    </row>
    <row r="84" spans="1:9 16384:16384" x14ac:dyDescent="0.25">
      <c r="A84" s="13">
        <v>3239</v>
      </c>
      <c r="B84" s="6" t="s">
        <v>155</v>
      </c>
      <c r="C84" s="43"/>
      <c r="D84" s="43">
        <v>5100</v>
      </c>
      <c r="E84" s="43">
        <v>6015</v>
      </c>
      <c r="F84" s="42">
        <f>E84/D84*100</f>
        <v>117.94117647058823</v>
      </c>
    </row>
    <row r="85" spans="1:9 16384:16384" x14ac:dyDescent="0.25">
      <c r="A85" s="13">
        <v>3293</v>
      </c>
      <c r="B85" s="6" t="s">
        <v>70</v>
      </c>
      <c r="C85" s="43"/>
      <c r="D85" s="43"/>
      <c r="E85" s="43">
        <v>2337</v>
      </c>
      <c r="F85" s="42"/>
    </row>
    <row r="86" spans="1:9 16384:16384" x14ac:dyDescent="0.25">
      <c r="A86" s="13">
        <v>3299</v>
      </c>
      <c r="B86" s="6" t="s">
        <v>67</v>
      </c>
      <c r="C86" s="43"/>
      <c r="D86" s="43"/>
      <c r="E86" s="43">
        <v>1440</v>
      </c>
      <c r="F86" s="42"/>
    </row>
    <row r="87" spans="1:9 16384:16384" s="18" customFormat="1" x14ac:dyDescent="0.25">
      <c r="A87" s="3">
        <v>3721</v>
      </c>
      <c r="B87" s="8" t="s">
        <v>130</v>
      </c>
      <c r="C87" s="42"/>
      <c r="D87" s="42">
        <v>10000</v>
      </c>
      <c r="E87" s="42">
        <v>0</v>
      </c>
      <c r="F87" s="42">
        <f t="shared" si="1"/>
        <v>0</v>
      </c>
    </row>
    <row r="88" spans="1:9 16384:16384" s="18" customFormat="1" x14ac:dyDescent="0.25">
      <c r="A88" s="3">
        <v>3722</v>
      </c>
      <c r="B88" s="8" t="s">
        <v>165</v>
      </c>
      <c r="C88" s="42"/>
      <c r="D88" s="42"/>
      <c r="E88" s="42">
        <v>5543</v>
      </c>
      <c r="F88" s="42"/>
    </row>
    <row r="89" spans="1:9 16384:16384" s="18" customFormat="1" x14ac:dyDescent="0.25">
      <c r="A89" s="3">
        <v>3811</v>
      </c>
      <c r="B89" s="8" t="s">
        <v>82</v>
      </c>
      <c r="C89" s="42"/>
      <c r="D89" s="42">
        <v>10000</v>
      </c>
      <c r="E89" s="42"/>
      <c r="F89" s="42">
        <f t="shared" si="1"/>
        <v>0</v>
      </c>
    </row>
    <row r="90" spans="1:9 16384:16384" x14ac:dyDescent="0.25">
      <c r="A90" s="3">
        <v>421</v>
      </c>
      <c r="B90" s="8" t="s">
        <v>85</v>
      </c>
      <c r="C90" s="42"/>
      <c r="D90" s="42">
        <v>130000</v>
      </c>
      <c r="E90" s="42">
        <v>132605</v>
      </c>
      <c r="F90" s="42">
        <f t="shared" si="1"/>
        <v>102.00384615384614</v>
      </c>
    </row>
    <row r="91" spans="1:9 16384:16384" x14ac:dyDescent="0.25">
      <c r="A91" s="13">
        <v>4211</v>
      </c>
      <c r="B91" s="6" t="s">
        <v>149</v>
      </c>
      <c r="C91" s="43"/>
      <c r="D91" s="43">
        <v>130000</v>
      </c>
      <c r="E91" s="43">
        <v>132605</v>
      </c>
      <c r="F91" s="42">
        <f t="shared" si="1"/>
        <v>102.00384615384614</v>
      </c>
    </row>
    <row r="92" spans="1:9 16384:16384" s="18" customFormat="1" x14ac:dyDescent="0.25">
      <c r="A92" s="3">
        <v>422</v>
      </c>
      <c r="B92" s="8" t="s">
        <v>84</v>
      </c>
      <c r="C92" s="42"/>
      <c r="D92" s="42"/>
      <c r="E92" s="42">
        <f>SUM(E93:E94)</f>
        <v>37258.25</v>
      </c>
      <c r="F92" s="42"/>
      <c r="XFD92" s="18">
        <f>SUM(A92:XFC92)</f>
        <v>37680.25</v>
      </c>
    </row>
    <row r="93" spans="1:9 16384:16384" x14ac:dyDescent="0.25">
      <c r="A93" s="13">
        <v>4221</v>
      </c>
      <c r="B93" s="6" t="s">
        <v>86</v>
      </c>
      <c r="C93" s="43"/>
      <c r="D93" s="43"/>
      <c r="E93" s="43">
        <f>11150+15202+23501.25-14793</f>
        <v>35060.25</v>
      </c>
      <c r="F93" s="42"/>
    </row>
    <row r="94" spans="1:9 16384:16384" x14ac:dyDescent="0.25">
      <c r="A94" s="13">
        <v>4241</v>
      </c>
      <c r="B94" s="6" t="s">
        <v>89</v>
      </c>
      <c r="C94" s="43"/>
      <c r="D94" s="43"/>
      <c r="E94" s="43">
        <v>2198</v>
      </c>
      <c r="F94" s="42"/>
    </row>
    <row r="95" spans="1:9 16384:16384" x14ac:dyDescent="0.25">
      <c r="A95" s="13"/>
      <c r="B95" s="60" t="s">
        <v>99</v>
      </c>
      <c r="C95" s="42">
        <v>48652</v>
      </c>
      <c r="D95" s="42">
        <f>129704+20000+130000</f>
        <v>279704</v>
      </c>
      <c r="E95" s="42">
        <f>E74+E80+E87+E89+E90+E92+E88</f>
        <v>369075.7</v>
      </c>
      <c r="F95" s="42">
        <f t="shared" si="1"/>
        <v>131.95224237050596</v>
      </c>
    </row>
    <row r="96" spans="1:9 16384:16384" x14ac:dyDescent="0.25">
      <c r="A96" s="27"/>
      <c r="B96" s="28"/>
      <c r="C96" s="47"/>
      <c r="D96" s="47"/>
      <c r="E96" s="47"/>
      <c r="F96" s="42"/>
      <c r="I96" s="53">
        <f>E63+E90+E92+E192</f>
        <v>196693.95</v>
      </c>
    </row>
    <row r="97" spans="1:10" x14ac:dyDescent="0.25">
      <c r="A97" s="24" t="s">
        <v>152</v>
      </c>
      <c r="F97" s="42"/>
      <c r="I97" s="53">
        <f>E192+E92+E90+E63+E196</f>
        <v>440832.59</v>
      </c>
      <c r="J97">
        <f>455626-440833</f>
        <v>14793</v>
      </c>
    </row>
    <row r="98" spans="1:10" ht="47.25" x14ac:dyDescent="0.25">
      <c r="A98" s="3" t="s">
        <v>169</v>
      </c>
      <c r="B98" s="2" t="s">
        <v>18</v>
      </c>
      <c r="C98" s="45" t="s">
        <v>36</v>
      </c>
      <c r="D98" s="45" t="s">
        <v>145</v>
      </c>
      <c r="E98" s="35" t="s">
        <v>144</v>
      </c>
      <c r="F98" s="41" t="s">
        <v>20</v>
      </c>
    </row>
    <row r="99" spans="1:10" ht="15.75" x14ac:dyDescent="0.25">
      <c r="A99" s="3"/>
      <c r="B99" s="2">
        <v>1</v>
      </c>
      <c r="C99" s="45">
        <v>4</v>
      </c>
      <c r="D99" s="45">
        <v>3</v>
      </c>
      <c r="E99" s="45">
        <v>4</v>
      </c>
      <c r="F99" s="41" t="s">
        <v>150</v>
      </c>
    </row>
    <row r="100" spans="1:10" x14ac:dyDescent="0.25">
      <c r="A100" s="3">
        <v>31</v>
      </c>
      <c r="B100" s="7" t="s">
        <v>37</v>
      </c>
      <c r="C100" s="42">
        <f>5957+67764+29160+62558</f>
        <v>165439</v>
      </c>
      <c r="D100" s="42">
        <f>D101+D103+D105</f>
        <v>173000</v>
      </c>
      <c r="E100" s="42">
        <f>E101+E103+E105</f>
        <v>57050.950000000004</v>
      </c>
      <c r="F100" s="42">
        <f t="shared" ref="F100:F171" si="2">E100/D100*100</f>
        <v>32.977427745664741</v>
      </c>
    </row>
    <row r="101" spans="1:10" x14ac:dyDescent="0.25">
      <c r="A101" s="3">
        <v>311</v>
      </c>
      <c r="B101" s="7" t="s">
        <v>38</v>
      </c>
      <c r="C101" s="42">
        <f>4856+422696-359788</f>
        <v>67764</v>
      </c>
      <c r="D101" s="42">
        <v>75000</v>
      </c>
      <c r="E101" s="42">
        <f>6079+134.43</f>
        <v>6213.43</v>
      </c>
      <c r="F101" s="42">
        <f t="shared" si="2"/>
        <v>8.2845733333333342</v>
      </c>
    </row>
    <row r="102" spans="1:10" x14ac:dyDescent="0.25">
      <c r="A102" s="13">
        <v>3111</v>
      </c>
      <c r="B102" s="5" t="s">
        <v>39</v>
      </c>
      <c r="C102" s="43">
        <v>67764</v>
      </c>
      <c r="D102" s="43">
        <f>75000</f>
        <v>75000</v>
      </c>
      <c r="E102" s="43">
        <f>484789.84-478711</f>
        <v>6078.8400000000256</v>
      </c>
      <c r="F102" s="42">
        <f t="shared" si="2"/>
        <v>8.1051200000000332</v>
      </c>
    </row>
    <row r="103" spans="1:10" x14ac:dyDescent="0.25">
      <c r="A103" s="3">
        <v>312</v>
      </c>
      <c r="B103" s="7" t="s">
        <v>40</v>
      </c>
      <c r="C103" s="42">
        <v>29160</v>
      </c>
      <c r="D103" s="42">
        <v>15000</v>
      </c>
      <c r="E103" s="42">
        <v>43727</v>
      </c>
      <c r="F103" s="42">
        <f t="shared" si="2"/>
        <v>291.51333333333332</v>
      </c>
    </row>
    <row r="104" spans="1:10" x14ac:dyDescent="0.25">
      <c r="A104" s="13">
        <v>3121</v>
      </c>
      <c r="B104" s="5" t="s">
        <v>40</v>
      </c>
      <c r="C104" s="43">
        <v>29160</v>
      </c>
      <c r="D104" s="43">
        <v>15000</v>
      </c>
      <c r="E104" s="43">
        <v>43727.27</v>
      </c>
      <c r="F104" s="42">
        <f t="shared" si="2"/>
        <v>291.51513333333332</v>
      </c>
    </row>
    <row r="105" spans="1:10" s="18" customFormat="1" x14ac:dyDescent="0.25">
      <c r="A105" s="3">
        <v>313</v>
      </c>
      <c r="B105" s="7" t="s">
        <v>41</v>
      </c>
      <c r="C105" s="42">
        <v>62558</v>
      </c>
      <c r="D105" s="42">
        <v>83000</v>
      </c>
      <c r="E105" s="42">
        <f>E106</f>
        <v>7110.5200000000032</v>
      </c>
      <c r="F105" s="42">
        <f t="shared" si="2"/>
        <v>8.5668915662650633</v>
      </c>
    </row>
    <row r="106" spans="1:10" x14ac:dyDescent="0.25">
      <c r="A106" s="13">
        <v>3132</v>
      </c>
      <c r="B106" s="6" t="s">
        <v>42</v>
      </c>
      <c r="C106" s="43">
        <v>62558</v>
      </c>
      <c r="D106" s="43">
        <v>83000</v>
      </c>
      <c r="E106" s="43">
        <f>84585.55-77730+254.97</f>
        <v>7110.5200000000032</v>
      </c>
      <c r="F106" s="42">
        <f t="shared" si="2"/>
        <v>8.5668915662650633</v>
      </c>
    </row>
    <row r="107" spans="1:10" x14ac:dyDescent="0.25">
      <c r="A107" s="3">
        <v>32</v>
      </c>
      <c r="B107" s="7" t="s">
        <v>98</v>
      </c>
      <c r="C107" s="42">
        <f>C108+C111+C115+C122+C129</f>
        <v>570624</v>
      </c>
      <c r="D107" s="42">
        <f>D108+D111+D115+D122</f>
        <v>501755</v>
      </c>
      <c r="E107" s="42">
        <f>E108+E111+E115+E122</f>
        <v>604708.9</v>
      </c>
      <c r="F107" s="42">
        <f t="shared" si="2"/>
        <v>120.51875915536468</v>
      </c>
      <c r="I107" s="53">
        <f>E107+E80+E74+E15</f>
        <v>1991758.94</v>
      </c>
    </row>
    <row r="108" spans="1:10" x14ac:dyDescent="0.25">
      <c r="A108" s="3">
        <v>321</v>
      </c>
      <c r="B108" s="7" t="s">
        <v>44</v>
      </c>
      <c r="C108" s="42">
        <f>SUM(C109:C110)</f>
        <v>12442</v>
      </c>
      <c r="D108" s="42">
        <v>15000</v>
      </c>
      <c r="E108" s="42">
        <f>SUM(E109:E110)</f>
        <v>40974.15</v>
      </c>
      <c r="F108" s="42">
        <f t="shared" si="2"/>
        <v>273.16100000000006</v>
      </c>
    </row>
    <row r="109" spans="1:10" x14ac:dyDescent="0.25">
      <c r="A109" s="13">
        <v>3211</v>
      </c>
      <c r="B109" s="5" t="s">
        <v>45</v>
      </c>
      <c r="C109" s="43">
        <v>3600</v>
      </c>
      <c r="D109" s="43"/>
      <c r="E109" s="43">
        <f>4151.15+16345+6694</f>
        <v>27190.15</v>
      </c>
      <c r="F109" s="42"/>
    </row>
    <row r="110" spans="1:10" x14ac:dyDescent="0.25">
      <c r="A110" s="13">
        <v>3212</v>
      </c>
      <c r="B110" s="5" t="s">
        <v>121</v>
      </c>
      <c r="C110" s="43">
        <v>8842</v>
      </c>
      <c r="D110" s="43">
        <v>15000</v>
      </c>
      <c r="E110" s="43">
        <f>13784</f>
        <v>13784</v>
      </c>
      <c r="F110" s="42">
        <f t="shared" si="2"/>
        <v>91.893333333333345</v>
      </c>
      <c r="I110" s="53">
        <f>E109+E17+E149</f>
        <v>251582.87</v>
      </c>
    </row>
    <row r="111" spans="1:10" x14ac:dyDescent="0.25">
      <c r="A111" s="3">
        <v>322</v>
      </c>
      <c r="B111" s="7" t="s">
        <v>47</v>
      </c>
      <c r="C111" s="42">
        <f>SUM(C112:C113)</f>
        <v>435898</v>
      </c>
      <c r="D111" s="42">
        <v>386750</v>
      </c>
      <c r="E111" s="42">
        <f>SUM(E112:E114)</f>
        <v>429638.6</v>
      </c>
      <c r="F111" s="42">
        <f t="shared" si="2"/>
        <v>111.08948933419521</v>
      </c>
    </row>
    <row r="112" spans="1:10" x14ac:dyDescent="0.25">
      <c r="A112" s="13">
        <v>3221</v>
      </c>
      <c r="B112" s="6" t="s">
        <v>122</v>
      </c>
      <c r="C112" s="43">
        <v>2502</v>
      </c>
      <c r="D112" s="43"/>
      <c r="E112" s="43">
        <f>3407.62+943.98</f>
        <v>4351.6000000000004</v>
      </c>
      <c r="F112" s="42"/>
    </row>
    <row r="113" spans="1:6" x14ac:dyDescent="0.25">
      <c r="A113" s="13">
        <v>3222</v>
      </c>
      <c r="B113" s="6" t="s">
        <v>123</v>
      </c>
      <c r="C113" s="43">
        <f>436000-2600-4</f>
        <v>433396</v>
      </c>
      <c r="D113" s="43">
        <f>183750+203000</f>
        <v>386750</v>
      </c>
      <c r="E113" s="43">
        <f>692425-180355.5-27378.58-86782.92+27379</f>
        <v>425287</v>
      </c>
      <c r="F113" s="42">
        <f t="shared" si="2"/>
        <v>109.96431803490627</v>
      </c>
    </row>
    <row r="114" spans="1:6" x14ac:dyDescent="0.25">
      <c r="A114" s="13">
        <v>3223</v>
      </c>
      <c r="B114" s="6" t="s">
        <v>52</v>
      </c>
      <c r="C114" s="43"/>
      <c r="D114" s="43">
        <v>0</v>
      </c>
      <c r="E114" s="43"/>
      <c r="F114" s="42" t="s">
        <v>167</v>
      </c>
    </row>
    <row r="115" spans="1:6" s="18" customFormat="1" x14ac:dyDescent="0.25">
      <c r="A115" s="3">
        <v>323</v>
      </c>
      <c r="B115" s="8" t="s">
        <v>56</v>
      </c>
      <c r="C115" s="42">
        <v>73404</v>
      </c>
      <c r="D115" s="42">
        <f>SUM(D116:D120)</f>
        <v>70005</v>
      </c>
      <c r="E115" s="42">
        <f>SUM(E116:E120)</f>
        <v>82556.149999999994</v>
      </c>
      <c r="F115" s="42">
        <f t="shared" si="2"/>
        <v>117.92893364759661</v>
      </c>
    </row>
    <row r="116" spans="1:6" s="19" customFormat="1" x14ac:dyDescent="0.25">
      <c r="A116" s="20">
        <v>3231</v>
      </c>
      <c r="B116" s="15" t="s">
        <v>164</v>
      </c>
      <c r="C116" s="51"/>
      <c r="D116" s="51"/>
      <c r="E116" s="51">
        <v>65.88</v>
      </c>
      <c r="F116" s="51"/>
    </row>
    <row r="117" spans="1:6" x14ac:dyDescent="0.25">
      <c r="A117" s="13">
        <v>3233</v>
      </c>
      <c r="B117" s="6" t="s">
        <v>59</v>
      </c>
      <c r="C117" s="43">
        <v>59421</v>
      </c>
      <c r="D117" s="43">
        <v>50005</v>
      </c>
      <c r="E117" s="43">
        <f>42591.39+65.88</f>
        <v>42657.27</v>
      </c>
      <c r="F117" s="42">
        <f t="shared" si="2"/>
        <v>85.306009399060088</v>
      </c>
    </row>
    <row r="118" spans="1:6" x14ac:dyDescent="0.25">
      <c r="A118" s="13">
        <v>3235</v>
      </c>
      <c r="B118" s="6" t="s">
        <v>166</v>
      </c>
      <c r="C118" s="43"/>
      <c r="D118" s="43"/>
      <c r="E118" s="43">
        <v>2000</v>
      </c>
      <c r="F118" s="42"/>
    </row>
    <row r="119" spans="1:6" x14ac:dyDescent="0.25">
      <c r="A119" s="13">
        <v>3237</v>
      </c>
      <c r="B119" s="6" t="s">
        <v>63</v>
      </c>
      <c r="C119" s="43"/>
      <c r="D119" s="43"/>
      <c r="E119" s="43">
        <v>1307.5</v>
      </c>
      <c r="F119" s="42"/>
    </row>
    <row r="120" spans="1:6" x14ac:dyDescent="0.25">
      <c r="A120" s="13">
        <v>3238</v>
      </c>
      <c r="B120" s="6" t="s">
        <v>64</v>
      </c>
      <c r="C120" s="43">
        <v>12527</v>
      </c>
      <c r="D120" s="43">
        <v>20000</v>
      </c>
      <c r="E120" s="43">
        <f>20397.5+13000+3128</f>
        <v>36525.5</v>
      </c>
      <c r="F120" s="42">
        <f t="shared" si="2"/>
        <v>182.6275</v>
      </c>
    </row>
    <row r="121" spans="1:6" x14ac:dyDescent="0.25">
      <c r="A121" s="13">
        <v>3239</v>
      </c>
      <c r="B121" s="6" t="s">
        <v>124</v>
      </c>
      <c r="C121" s="43">
        <v>1456</v>
      </c>
      <c r="D121" s="43"/>
      <c r="E121" s="43"/>
      <c r="F121" s="42"/>
    </row>
    <row r="122" spans="1:6" s="18" customFormat="1" x14ac:dyDescent="0.25">
      <c r="A122" s="3">
        <v>329</v>
      </c>
      <c r="B122" s="8" t="s">
        <v>67</v>
      </c>
      <c r="C122" s="42">
        <v>40515</v>
      </c>
      <c r="D122" s="42">
        <v>30000</v>
      </c>
      <c r="E122" s="42">
        <f>SUM(E123:E124)</f>
        <v>51540</v>
      </c>
      <c r="F122" s="42">
        <f t="shared" si="2"/>
        <v>171.8</v>
      </c>
    </row>
    <row r="123" spans="1:6" x14ac:dyDescent="0.25">
      <c r="A123" s="13">
        <v>3292</v>
      </c>
      <c r="B123" s="6" t="s">
        <v>69</v>
      </c>
      <c r="C123" s="43">
        <v>30680</v>
      </c>
      <c r="D123" s="43">
        <v>30000</v>
      </c>
      <c r="E123" s="43">
        <v>29280</v>
      </c>
      <c r="F123" s="42">
        <f t="shared" si="2"/>
        <v>97.6</v>
      </c>
    </row>
    <row r="124" spans="1:6" x14ac:dyDescent="0.25">
      <c r="A124" s="13">
        <v>3299</v>
      </c>
      <c r="B124" s="6" t="s">
        <v>67</v>
      </c>
      <c r="C124" s="43">
        <v>9835</v>
      </c>
      <c r="D124" s="43"/>
      <c r="E124" s="43">
        <v>22260</v>
      </c>
      <c r="F124" s="42"/>
    </row>
    <row r="125" spans="1:6" s="18" customFormat="1" x14ac:dyDescent="0.25">
      <c r="A125" s="3">
        <v>343</v>
      </c>
      <c r="B125" s="8" t="s">
        <v>162</v>
      </c>
      <c r="C125" s="42"/>
      <c r="D125" s="42"/>
      <c r="E125" s="42">
        <v>557</v>
      </c>
      <c r="F125" s="42"/>
    </row>
    <row r="126" spans="1:6" x14ac:dyDescent="0.25">
      <c r="A126" s="13">
        <v>3431</v>
      </c>
      <c r="B126" s="6" t="s">
        <v>156</v>
      </c>
      <c r="C126" s="43"/>
      <c r="D126" s="43"/>
      <c r="E126" s="43">
        <f>390+167</f>
        <v>557</v>
      </c>
      <c r="F126" s="42"/>
    </row>
    <row r="127" spans="1:6" s="18" customFormat="1" x14ac:dyDescent="0.25">
      <c r="A127" s="3">
        <v>372</v>
      </c>
      <c r="B127" s="8" t="s">
        <v>163</v>
      </c>
      <c r="C127" s="42"/>
      <c r="D127" s="42"/>
      <c r="E127" s="42">
        <v>1200</v>
      </c>
      <c r="F127" s="42"/>
    </row>
    <row r="128" spans="1:6" ht="14.25" customHeight="1" x14ac:dyDescent="0.25">
      <c r="A128" s="13">
        <v>3721</v>
      </c>
      <c r="B128" s="6" t="s">
        <v>157</v>
      </c>
      <c r="C128" s="43"/>
      <c r="D128" s="43"/>
      <c r="E128" s="43">
        <v>1200</v>
      </c>
      <c r="F128" s="42"/>
    </row>
    <row r="129" spans="1:9" s="18" customFormat="1" x14ac:dyDescent="0.25">
      <c r="A129" s="3">
        <v>381</v>
      </c>
      <c r="B129" s="8" t="s">
        <v>82</v>
      </c>
      <c r="C129" s="42">
        <v>8365</v>
      </c>
      <c r="D129" s="42"/>
      <c r="E129" s="42">
        <v>8638</v>
      </c>
      <c r="F129" s="42"/>
    </row>
    <row r="130" spans="1:9" x14ac:dyDescent="0.25">
      <c r="A130" s="13">
        <v>3811</v>
      </c>
      <c r="B130" s="6" t="s">
        <v>125</v>
      </c>
      <c r="C130" s="43">
        <v>8365</v>
      </c>
      <c r="D130" s="43"/>
      <c r="E130" s="43">
        <v>8648</v>
      </c>
      <c r="F130" s="42"/>
    </row>
    <row r="131" spans="1:9" x14ac:dyDescent="0.25">
      <c r="A131" s="13"/>
      <c r="B131" s="6"/>
      <c r="C131" s="43"/>
      <c r="D131" s="43"/>
      <c r="E131" s="43"/>
      <c r="F131" s="42"/>
    </row>
    <row r="132" spans="1:9" x14ac:dyDescent="0.25">
      <c r="A132" s="13"/>
      <c r="B132" s="9" t="s">
        <v>99</v>
      </c>
      <c r="C132" s="42">
        <f>C100+C107</f>
        <v>736063</v>
      </c>
      <c r="D132" s="43">
        <v>674755</v>
      </c>
      <c r="E132" s="42">
        <f>E100+E107+E125+E127+E129</f>
        <v>672154.85</v>
      </c>
      <c r="F132" s="42">
        <f t="shared" si="2"/>
        <v>99.614652725804177</v>
      </c>
    </row>
    <row r="133" spans="1:9" x14ac:dyDescent="0.25">
      <c r="A133" s="27"/>
      <c r="B133" s="28"/>
      <c r="C133" s="47"/>
      <c r="D133" s="47"/>
      <c r="E133" s="47"/>
      <c r="F133" s="61"/>
    </row>
    <row r="134" spans="1:9" x14ac:dyDescent="0.25">
      <c r="A134" s="24" t="s">
        <v>151</v>
      </c>
      <c r="F134" s="62"/>
    </row>
    <row r="135" spans="1:9" ht="47.25" x14ac:dyDescent="0.25">
      <c r="A135" s="3" t="s">
        <v>169</v>
      </c>
      <c r="B135" s="2" t="s">
        <v>18</v>
      </c>
      <c r="C135" s="45" t="s">
        <v>36</v>
      </c>
      <c r="D135" s="45" t="s">
        <v>145</v>
      </c>
      <c r="E135" s="35" t="s">
        <v>144</v>
      </c>
      <c r="F135" s="41" t="s">
        <v>20</v>
      </c>
    </row>
    <row r="136" spans="1:9" ht="15.75" x14ac:dyDescent="0.25">
      <c r="A136" s="3"/>
      <c r="B136" s="2">
        <v>1</v>
      </c>
      <c r="C136" s="45">
        <v>4</v>
      </c>
      <c r="D136" s="45">
        <v>3</v>
      </c>
      <c r="E136" s="45">
        <v>4</v>
      </c>
      <c r="F136" s="41" t="s">
        <v>150</v>
      </c>
    </row>
    <row r="137" spans="1:9" x14ac:dyDescent="0.25">
      <c r="A137" s="3">
        <v>31</v>
      </c>
      <c r="B137" s="7" t="s">
        <v>37</v>
      </c>
      <c r="C137" s="42">
        <f>C138+C142+C144</f>
        <v>11511330</v>
      </c>
      <c r="D137" s="42">
        <f>D138+D142+D144</f>
        <v>12378947.59</v>
      </c>
      <c r="E137" s="42">
        <f>E138+E142+E144</f>
        <v>12648990.35</v>
      </c>
      <c r="F137" s="42">
        <f t="shared" si="2"/>
        <v>102.18146783510214</v>
      </c>
      <c r="I137" s="53">
        <f>E138+E101+E8</f>
        <v>11018664.030000001</v>
      </c>
    </row>
    <row r="138" spans="1:9" x14ac:dyDescent="0.25">
      <c r="A138" s="3">
        <v>311</v>
      </c>
      <c r="B138" s="7" t="s">
        <v>38</v>
      </c>
      <c r="C138" s="42">
        <f>SUM(C139:C141)</f>
        <v>9550389</v>
      </c>
      <c r="D138" s="42">
        <f>SUM(D139:D141)</f>
        <v>10309545.98</v>
      </c>
      <c r="E138" s="42">
        <f>SUM(E139:E141)</f>
        <v>10486019.710000001</v>
      </c>
      <c r="F138" s="42">
        <f t="shared" si="2"/>
        <v>101.711750743848</v>
      </c>
      <c r="I138">
        <f>I136-I137</f>
        <v>-11018664.030000001</v>
      </c>
    </row>
    <row r="139" spans="1:9" x14ac:dyDescent="0.25">
      <c r="A139" s="13">
        <v>3111</v>
      </c>
      <c r="B139" s="5" t="s">
        <v>39</v>
      </c>
      <c r="C139" s="43">
        <v>9337940</v>
      </c>
      <c r="D139" s="43">
        <f>99394+17539.98+9800000+61722+10890</f>
        <v>9989545.9800000004</v>
      </c>
      <c r="E139" s="43">
        <f>9956655+159040.77+28066+3433.42+1502</f>
        <v>10148697.189999999</v>
      </c>
      <c r="F139" s="42">
        <f t="shared" si="2"/>
        <v>101.59317761106095</v>
      </c>
    </row>
    <row r="140" spans="1:9" x14ac:dyDescent="0.25">
      <c r="A140" s="13">
        <v>3113</v>
      </c>
      <c r="B140" s="5" t="s">
        <v>127</v>
      </c>
      <c r="C140" s="43">
        <v>150216</v>
      </c>
      <c r="D140" s="43">
        <f>260000</f>
        <v>260000</v>
      </c>
      <c r="E140" s="43">
        <v>278653.71999999997</v>
      </c>
      <c r="F140" s="42">
        <f t="shared" si="2"/>
        <v>107.17450769230767</v>
      </c>
    </row>
    <row r="141" spans="1:9" x14ac:dyDescent="0.25">
      <c r="A141" s="13">
        <v>3114</v>
      </c>
      <c r="B141" s="5" t="s">
        <v>128</v>
      </c>
      <c r="C141" s="43">
        <v>62233</v>
      </c>
      <c r="D141" s="43">
        <f>60000</f>
        <v>60000</v>
      </c>
      <c r="E141" s="43">
        <v>58668.800000000003</v>
      </c>
      <c r="F141" s="42">
        <f t="shared" si="2"/>
        <v>97.781333333333336</v>
      </c>
    </row>
    <row r="142" spans="1:9" x14ac:dyDescent="0.25">
      <c r="A142" s="3">
        <v>312</v>
      </c>
      <c r="B142" s="7" t="s">
        <v>40</v>
      </c>
      <c r="C142" s="42">
        <v>376077</v>
      </c>
      <c r="D142" s="42">
        <f>D143</f>
        <v>356800</v>
      </c>
      <c r="E142" s="42">
        <f>E143</f>
        <v>429679.85</v>
      </c>
      <c r="F142" s="42">
        <f t="shared" si="2"/>
        <v>120.42596692825111</v>
      </c>
    </row>
    <row r="143" spans="1:9" x14ac:dyDescent="0.25">
      <c r="A143" s="13">
        <v>3121</v>
      </c>
      <c r="B143" s="5" t="s">
        <v>40</v>
      </c>
      <c r="C143" s="43">
        <v>376077</v>
      </c>
      <c r="D143" s="43">
        <f>3070.63+541.87+350000+2709+478.5</f>
        <v>356800</v>
      </c>
      <c r="E143" s="43">
        <f>420329.85+7947.5+1402.5</f>
        <v>429679.85</v>
      </c>
      <c r="F143" s="42">
        <f t="shared" si="2"/>
        <v>120.42596692825111</v>
      </c>
      <c r="I143" s="53">
        <f>E143+E103+E11</f>
        <v>486056.85</v>
      </c>
    </row>
    <row r="144" spans="1:9" s="18" customFormat="1" x14ac:dyDescent="0.25">
      <c r="A144" s="3">
        <v>313</v>
      </c>
      <c r="B144" s="7" t="s">
        <v>41</v>
      </c>
      <c r="C144" s="42">
        <f>C145+C146</f>
        <v>1584864</v>
      </c>
      <c r="D144" s="42">
        <f>D145+D146</f>
        <v>1712601.61</v>
      </c>
      <c r="E144" s="42">
        <f>E145+E146</f>
        <v>1733290.7899999998</v>
      </c>
      <c r="F144" s="42">
        <f t="shared" si="2"/>
        <v>101.20805562012754</v>
      </c>
    </row>
    <row r="145" spans="1:9" x14ac:dyDescent="0.25">
      <c r="A145" s="13">
        <v>3132</v>
      </c>
      <c r="B145" s="6" t="s">
        <v>42</v>
      </c>
      <c r="C145" s="43">
        <v>1584471</v>
      </c>
      <c r="D145" s="43">
        <f>16421.67+2867.94+1679000+10185+1797</f>
        <v>1710271.61</v>
      </c>
      <c r="E145" s="43">
        <f>1699522.16+26241.75+4630.9+566.52</f>
        <v>1730961.3299999998</v>
      </c>
      <c r="F145" s="42">
        <f t="shared" si="2"/>
        <v>101.20973299673727</v>
      </c>
    </row>
    <row r="146" spans="1:9" ht="30" x14ac:dyDescent="0.25">
      <c r="A146" s="13">
        <v>3133</v>
      </c>
      <c r="B146" s="6" t="s">
        <v>43</v>
      </c>
      <c r="C146" s="43">
        <v>393</v>
      </c>
      <c r="D146" s="43">
        <v>2330</v>
      </c>
      <c r="E146" s="43">
        <v>2329.46</v>
      </c>
      <c r="F146" s="42">
        <f t="shared" si="2"/>
        <v>99.976824034334768</v>
      </c>
      <c r="I146" s="53">
        <f>E120+E168+E83+E36+114</f>
        <v>79692.26999999999</v>
      </c>
    </row>
    <row r="147" spans="1:9" x14ac:dyDescent="0.25">
      <c r="A147" s="3">
        <v>32</v>
      </c>
      <c r="B147" s="7" t="s">
        <v>98</v>
      </c>
      <c r="C147" s="42">
        <f>C148+C153+C160+C170+C172</f>
        <v>763801</v>
      </c>
      <c r="D147" s="42">
        <f>D148+D153+D160+D170+D172</f>
        <v>1275984.44</v>
      </c>
      <c r="E147" s="42">
        <f>E148+E153+E160+E170+E172</f>
        <v>1229109.83</v>
      </c>
      <c r="F147" s="42">
        <f t="shared" si="2"/>
        <v>96.32639642533573</v>
      </c>
    </row>
    <row r="148" spans="1:9" x14ac:dyDescent="0.25">
      <c r="A148" s="3">
        <v>321</v>
      </c>
      <c r="B148" s="7" t="s">
        <v>44</v>
      </c>
      <c r="C148" s="42">
        <f>SUM(C149:C152)</f>
        <v>380806</v>
      </c>
      <c r="D148" s="42">
        <f>SUM(D149:D152)</f>
        <v>574035.04</v>
      </c>
      <c r="E148" s="42">
        <f>SUM(E149:E152)</f>
        <v>588450.11</v>
      </c>
      <c r="F148" s="42">
        <f t="shared" si="2"/>
        <v>102.51118294102743</v>
      </c>
    </row>
    <row r="149" spans="1:9" x14ac:dyDescent="0.25">
      <c r="A149" s="13">
        <v>3211</v>
      </c>
      <c r="B149" s="5" t="s">
        <v>45</v>
      </c>
      <c r="C149" s="43">
        <v>64043</v>
      </c>
      <c r="D149" s="43">
        <f>195000+144.5+25.5+500+144.5+25.5</f>
        <v>195840</v>
      </c>
      <c r="E149" s="43">
        <f>202903.72+624</f>
        <v>203527.72</v>
      </c>
      <c r="F149" s="42">
        <f t="shared" si="2"/>
        <v>103.92551062091503</v>
      </c>
    </row>
    <row r="150" spans="1:9" x14ac:dyDescent="0.25">
      <c r="A150" s="13">
        <v>3212</v>
      </c>
      <c r="B150" s="6" t="s">
        <v>46</v>
      </c>
      <c r="C150" s="43">
        <v>299626</v>
      </c>
      <c r="D150" s="43">
        <f>5391.58+951.46+350000+3274.5+577.5</f>
        <v>360195.04</v>
      </c>
      <c r="E150" s="43">
        <f>358326.91+10557.6+1863.11-18-6694</f>
        <v>364035.61999999994</v>
      </c>
      <c r="F150" s="42">
        <f t="shared" si="2"/>
        <v>101.06625010716415</v>
      </c>
    </row>
    <row r="151" spans="1:9" x14ac:dyDescent="0.25">
      <c r="A151" s="13">
        <v>3213</v>
      </c>
      <c r="B151" s="6" t="s">
        <v>49</v>
      </c>
      <c r="C151" s="43">
        <v>3785</v>
      </c>
      <c r="D151" s="43">
        <f>3000</f>
        <v>3000</v>
      </c>
      <c r="E151" s="43">
        <v>4720.17</v>
      </c>
      <c r="F151" s="42">
        <f t="shared" si="2"/>
        <v>157.339</v>
      </c>
    </row>
    <row r="152" spans="1:9" x14ac:dyDescent="0.25">
      <c r="A152" s="13">
        <v>3214</v>
      </c>
      <c r="B152" s="6" t="s">
        <v>50</v>
      </c>
      <c r="C152" s="43">
        <v>13352</v>
      </c>
      <c r="D152" s="43">
        <f>15000</f>
        <v>15000</v>
      </c>
      <c r="E152" s="43">
        <f>146+208+15812.6</f>
        <v>16166.6</v>
      </c>
      <c r="F152" s="42">
        <f t="shared" si="2"/>
        <v>107.77733333333333</v>
      </c>
      <c r="I152" s="53">
        <f>E152+E20</f>
        <v>26254.6</v>
      </c>
    </row>
    <row r="153" spans="1:9" x14ac:dyDescent="0.25">
      <c r="A153" s="3">
        <v>322</v>
      </c>
      <c r="B153" s="7" t="s">
        <v>47</v>
      </c>
      <c r="C153" s="42">
        <f t="shared" ref="C153:D153" si="3">SUM(C154:C159)</f>
        <v>86587</v>
      </c>
      <c r="D153" s="42">
        <f t="shared" si="3"/>
        <v>203402.4</v>
      </c>
      <c r="E153" s="42">
        <f>SUM(E154:E159)</f>
        <v>146228.31</v>
      </c>
      <c r="F153" s="42">
        <f t="shared" si="2"/>
        <v>71.891142877370186</v>
      </c>
    </row>
    <row r="154" spans="1:9" x14ac:dyDescent="0.25">
      <c r="A154" s="13">
        <v>3221</v>
      </c>
      <c r="B154" s="21" t="s">
        <v>48</v>
      </c>
      <c r="C154" s="43">
        <v>570</v>
      </c>
      <c r="D154" s="43">
        <f>15000+2000</f>
        <v>17000</v>
      </c>
      <c r="E154" s="43">
        <f>3098.15+12756.08</f>
        <v>15854.23</v>
      </c>
      <c r="F154" s="42">
        <f t="shared" si="2"/>
        <v>93.260176470588235</v>
      </c>
    </row>
    <row r="155" spans="1:9" x14ac:dyDescent="0.25">
      <c r="A155" s="13">
        <v>3222</v>
      </c>
      <c r="B155" s="6" t="s">
        <v>51</v>
      </c>
      <c r="C155" s="43">
        <f>22345+135113-77440-10792+1922</f>
        <v>71148</v>
      </c>
      <c r="D155" s="43">
        <f>3000+87506.44+15441.96+10000+59885.96+10568.04</f>
        <v>186402.4</v>
      </c>
      <c r="E155" s="43">
        <f>34725.95+1585.19+2458.52+86782.92</f>
        <v>125552.57999999999</v>
      </c>
      <c r="F155" s="42">
        <f t="shared" si="2"/>
        <v>67.355667094415082</v>
      </c>
    </row>
    <row r="156" spans="1:9" x14ac:dyDescent="0.25">
      <c r="A156" s="13">
        <v>3223</v>
      </c>
      <c r="B156" s="6" t="s">
        <v>52</v>
      </c>
      <c r="C156" s="43">
        <v>0</v>
      </c>
      <c r="D156" s="43"/>
      <c r="E156" s="43">
        <v>0</v>
      </c>
      <c r="F156" s="42"/>
    </row>
    <row r="157" spans="1:9" x14ac:dyDescent="0.25">
      <c r="A157" s="13">
        <v>3224</v>
      </c>
      <c r="B157" s="6" t="s">
        <v>53</v>
      </c>
      <c r="C157" s="43"/>
      <c r="D157" s="43"/>
      <c r="E157" s="43"/>
      <c r="F157" s="42"/>
    </row>
    <row r="158" spans="1:9" x14ac:dyDescent="0.25">
      <c r="A158" s="13">
        <v>3225</v>
      </c>
      <c r="B158" s="6" t="s">
        <v>54</v>
      </c>
      <c r="C158" s="43">
        <v>14869</v>
      </c>
      <c r="D158" s="43"/>
      <c r="E158" s="43">
        <v>4821.5</v>
      </c>
      <c r="F158" s="42"/>
    </row>
    <row r="159" spans="1:9" x14ac:dyDescent="0.25">
      <c r="A159" s="13">
        <v>3227</v>
      </c>
      <c r="B159" s="6" t="s">
        <v>55</v>
      </c>
      <c r="C159" s="43"/>
      <c r="D159" s="43"/>
      <c r="E159" s="43"/>
      <c r="F159" s="42"/>
    </row>
    <row r="160" spans="1:9" s="18" customFormat="1" x14ac:dyDescent="0.25">
      <c r="A160" s="3">
        <v>323</v>
      </c>
      <c r="B160" s="8" t="s">
        <v>56</v>
      </c>
      <c r="C160" s="42">
        <v>226287</v>
      </c>
      <c r="D160" s="42">
        <f>SUM(D161:D169)</f>
        <v>323000</v>
      </c>
      <c r="E160" s="42">
        <f>SUM(E161:E169)</f>
        <v>303072.12000000005</v>
      </c>
      <c r="F160" s="42">
        <f t="shared" si="2"/>
        <v>93.830377708978347</v>
      </c>
    </row>
    <row r="161" spans="1:9" x14ac:dyDescent="0.25">
      <c r="A161" s="13">
        <v>3231</v>
      </c>
      <c r="B161" s="6" t="s">
        <v>57</v>
      </c>
      <c r="C161" s="43">
        <v>40372</v>
      </c>
      <c r="D161" s="43">
        <f>215000+2000</f>
        <v>217000</v>
      </c>
      <c r="E161" s="43">
        <f>12200+217539.57</f>
        <v>229739.57</v>
      </c>
      <c r="F161" s="42">
        <f t="shared" si="2"/>
        <v>105.87076958525346</v>
      </c>
      <c r="I161" s="53">
        <f>E161+E29+E116</f>
        <v>269236.14</v>
      </c>
    </row>
    <row r="162" spans="1:9" x14ac:dyDescent="0.25">
      <c r="A162" s="13">
        <v>3232</v>
      </c>
      <c r="B162" s="6" t="s">
        <v>58</v>
      </c>
      <c r="C162" s="43"/>
      <c r="D162" s="43"/>
      <c r="E162" s="43"/>
      <c r="F162" s="42"/>
    </row>
    <row r="163" spans="1:9" x14ac:dyDescent="0.25">
      <c r="A163" s="13">
        <v>3233</v>
      </c>
      <c r="B163" s="6" t="s">
        <v>59</v>
      </c>
      <c r="C163" s="43">
        <v>11350</v>
      </c>
      <c r="D163" s="43">
        <f>2000</f>
        <v>2000</v>
      </c>
      <c r="E163" s="43">
        <v>5226.88</v>
      </c>
      <c r="F163" s="42">
        <f t="shared" si="2"/>
        <v>261.34399999999999</v>
      </c>
    </row>
    <row r="164" spans="1:9" x14ac:dyDescent="0.25">
      <c r="A164" s="13">
        <v>3234</v>
      </c>
      <c r="B164" s="6" t="s">
        <v>60</v>
      </c>
      <c r="C164" s="43"/>
      <c r="D164" s="43"/>
      <c r="E164" s="43"/>
      <c r="F164" s="42"/>
    </row>
    <row r="165" spans="1:9" x14ac:dyDescent="0.25">
      <c r="A165" s="13">
        <v>3235</v>
      </c>
      <c r="B165" s="6" t="s">
        <v>61</v>
      </c>
      <c r="C165" s="43"/>
      <c r="D165" s="43"/>
      <c r="E165" s="43"/>
      <c r="F165" s="42"/>
    </row>
    <row r="166" spans="1:9" x14ac:dyDescent="0.25">
      <c r="A166" s="13">
        <v>3236</v>
      </c>
      <c r="B166" s="6" t="s">
        <v>62</v>
      </c>
      <c r="C166" s="43"/>
      <c r="D166" s="43"/>
      <c r="E166" s="43"/>
      <c r="F166" s="42"/>
    </row>
    <row r="167" spans="1:9" x14ac:dyDescent="0.25">
      <c r="A167" s="13">
        <v>3237</v>
      </c>
      <c r="B167" s="6" t="s">
        <v>63</v>
      </c>
      <c r="C167" s="43">
        <v>167026</v>
      </c>
      <c r="D167" s="43">
        <f>80000+2000</f>
        <v>82000</v>
      </c>
      <c r="E167" s="43">
        <f>875+50055.52+1353</f>
        <v>52283.519999999997</v>
      </c>
      <c r="F167" s="42">
        <f t="shared" si="2"/>
        <v>63.760390243902435</v>
      </c>
      <c r="H167" s="53"/>
    </row>
    <row r="168" spans="1:9" x14ac:dyDescent="0.25">
      <c r="A168" s="13">
        <v>3238</v>
      </c>
      <c r="B168" s="6" t="s">
        <v>64</v>
      </c>
      <c r="C168" s="43">
        <v>2548</v>
      </c>
      <c r="D168" s="43">
        <f>2000</f>
        <v>2000</v>
      </c>
      <c r="E168" s="43">
        <f>1325.24+1248.08</f>
        <v>2573.3199999999997</v>
      </c>
      <c r="F168" s="42">
        <f t="shared" si="2"/>
        <v>128.666</v>
      </c>
    </row>
    <row r="169" spans="1:9" x14ac:dyDescent="0.25">
      <c r="A169" s="13">
        <v>3239</v>
      </c>
      <c r="B169" s="6" t="s">
        <v>65</v>
      </c>
      <c r="C169" s="43">
        <v>4990</v>
      </c>
      <c r="D169" s="43">
        <f>20000</f>
        <v>20000</v>
      </c>
      <c r="E169" s="43">
        <v>13248.83</v>
      </c>
      <c r="F169" s="42">
        <f t="shared" si="2"/>
        <v>66.244150000000005</v>
      </c>
    </row>
    <row r="170" spans="1:9" x14ac:dyDescent="0.25">
      <c r="A170" s="3">
        <v>324</v>
      </c>
      <c r="B170" s="8" t="s">
        <v>66</v>
      </c>
      <c r="C170" s="42"/>
      <c r="D170" s="42">
        <f>D171</f>
        <v>1000</v>
      </c>
      <c r="E170" s="42">
        <f>E171</f>
        <v>4764.1399999999994</v>
      </c>
      <c r="F170" s="42">
        <f t="shared" si="2"/>
        <v>476.41399999999993</v>
      </c>
    </row>
    <row r="171" spans="1:9" x14ac:dyDescent="0.25">
      <c r="A171" s="13">
        <v>3241</v>
      </c>
      <c r="B171" s="6" t="s">
        <v>66</v>
      </c>
      <c r="C171" s="43"/>
      <c r="D171" s="43">
        <v>1000</v>
      </c>
      <c r="E171" s="43">
        <f>3504.14+1260</f>
        <v>4764.1399999999994</v>
      </c>
      <c r="F171" s="42">
        <f t="shared" si="2"/>
        <v>476.41399999999993</v>
      </c>
    </row>
    <row r="172" spans="1:9" s="18" customFormat="1" x14ac:dyDescent="0.25">
      <c r="A172" s="3">
        <v>329</v>
      </c>
      <c r="B172" s="8" t="s">
        <v>67</v>
      </c>
      <c r="C172" s="42">
        <f>SUM(C173:C179)</f>
        <v>70121</v>
      </c>
      <c r="D172" s="42">
        <f>SUM(D173:D179)</f>
        <v>174547</v>
      </c>
      <c r="E172" s="42">
        <f>SUM(E173:E179)</f>
        <v>186595.15</v>
      </c>
      <c r="F172" s="42">
        <f t="shared" ref="F172:F197" si="4">E172/D172*100</f>
        <v>106.90252482139482</v>
      </c>
      <c r="I172" s="63">
        <f>E172+E122+E86+E85+E40</f>
        <v>249051.72999999998</v>
      </c>
    </row>
    <row r="173" spans="1:9" x14ac:dyDescent="0.25">
      <c r="A173" s="13">
        <v>3291</v>
      </c>
      <c r="B173" s="6" t="s">
        <v>68</v>
      </c>
      <c r="C173" s="43"/>
      <c r="D173" s="43"/>
      <c r="E173" s="43"/>
      <c r="F173" s="42"/>
    </row>
    <row r="174" spans="1:9" x14ac:dyDescent="0.25">
      <c r="A174" s="13">
        <v>3292</v>
      </c>
      <c r="B174" s="6" t="s">
        <v>69</v>
      </c>
      <c r="C174" s="43">
        <v>211</v>
      </c>
      <c r="D174" s="43">
        <f>1000</f>
        <v>1000</v>
      </c>
      <c r="E174" s="43">
        <v>0</v>
      </c>
      <c r="F174" s="42">
        <f t="shared" si="4"/>
        <v>0</v>
      </c>
    </row>
    <row r="175" spans="1:9" x14ac:dyDescent="0.25">
      <c r="A175" s="13">
        <v>3293</v>
      </c>
      <c r="B175" s="6" t="s">
        <v>70</v>
      </c>
      <c r="C175" s="43">
        <v>2949</v>
      </c>
      <c r="D175" s="43">
        <f>14000</f>
        <v>14000</v>
      </c>
      <c r="E175" s="43">
        <f>767.49+15732.81</f>
        <v>16500.3</v>
      </c>
      <c r="F175" s="42">
        <f t="shared" si="4"/>
        <v>117.8592857142857</v>
      </c>
    </row>
    <row r="176" spans="1:9" x14ac:dyDescent="0.25">
      <c r="A176" s="13">
        <v>3294</v>
      </c>
      <c r="B176" s="6" t="s">
        <v>71</v>
      </c>
      <c r="C176" s="43"/>
      <c r="D176" s="43">
        <v>1000</v>
      </c>
      <c r="E176" s="43">
        <v>416.55</v>
      </c>
      <c r="F176" s="42">
        <f t="shared" si="4"/>
        <v>41.655000000000001</v>
      </c>
    </row>
    <row r="177" spans="1:10" x14ac:dyDescent="0.25">
      <c r="A177" s="13">
        <v>3295</v>
      </c>
      <c r="B177" s="6" t="s">
        <v>72</v>
      </c>
      <c r="C177" s="43">
        <v>34612</v>
      </c>
      <c r="D177" s="43">
        <f>33000</f>
        <v>33000</v>
      </c>
      <c r="E177" s="43">
        <v>46195.5</v>
      </c>
      <c r="F177" s="42">
        <f t="shared" si="4"/>
        <v>139.98636363636362</v>
      </c>
    </row>
    <row r="178" spans="1:10" x14ac:dyDescent="0.25">
      <c r="A178" s="13">
        <v>3296</v>
      </c>
      <c r="B178" s="6" t="s">
        <v>73</v>
      </c>
      <c r="C178" s="43">
        <v>8906</v>
      </c>
      <c r="D178" s="43">
        <f>70547</f>
        <v>70547</v>
      </c>
      <c r="E178" s="43">
        <f>54088.74+2370.71</f>
        <v>56459.45</v>
      </c>
      <c r="F178" s="42">
        <f t="shared" si="4"/>
        <v>80.030972259628328</v>
      </c>
    </row>
    <row r="179" spans="1:10" x14ac:dyDescent="0.25">
      <c r="A179" s="13">
        <v>3299</v>
      </c>
      <c r="B179" s="6" t="s">
        <v>67</v>
      </c>
      <c r="C179" s="43">
        <v>23443</v>
      </c>
      <c r="D179" s="43">
        <f>55000</f>
        <v>55000</v>
      </c>
      <c r="E179" s="43">
        <f>66523.35+500</f>
        <v>67023.350000000006</v>
      </c>
      <c r="F179" s="42">
        <f t="shared" si="4"/>
        <v>121.86063636363637</v>
      </c>
    </row>
    <row r="180" spans="1:10" x14ac:dyDescent="0.25">
      <c r="A180" s="3">
        <v>34</v>
      </c>
      <c r="B180" s="8" t="s">
        <v>74</v>
      </c>
      <c r="C180" s="42">
        <v>8367.2199999999993</v>
      </c>
      <c r="D180" s="42">
        <f>D181</f>
        <v>42132.74</v>
      </c>
      <c r="E180" s="42">
        <f>E181</f>
        <v>37396.631000000001</v>
      </c>
      <c r="F180" s="42"/>
    </row>
    <row r="181" spans="1:10" x14ac:dyDescent="0.25">
      <c r="A181" s="3">
        <v>343</v>
      </c>
      <c r="B181" s="8" t="s">
        <v>75</v>
      </c>
      <c r="C181" s="42">
        <f t="shared" ref="C181:D181" si="5">SUM(C182:C184)</f>
        <v>8367</v>
      </c>
      <c r="D181" s="42">
        <f t="shared" si="5"/>
        <v>42132.74</v>
      </c>
      <c r="E181" s="42">
        <f>SUM(E182:E184)</f>
        <v>37396.631000000001</v>
      </c>
      <c r="F181" s="42">
        <f t="shared" si="4"/>
        <v>88.759076670541731</v>
      </c>
      <c r="I181">
        <f>13330725.79+3220753.69+46205.81+375725.63+8748+440833.9</f>
        <v>17422992.819999997</v>
      </c>
    </row>
    <row r="182" spans="1:10" x14ac:dyDescent="0.25">
      <c r="A182" s="13">
        <v>3431</v>
      </c>
      <c r="B182" s="6" t="s">
        <v>76</v>
      </c>
      <c r="C182" s="43">
        <v>1</v>
      </c>
      <c r="D182" s="43">
        <f>455.71</f>
        <v>455.71</v>
      </c>
      <c r="E182" s="43">
        <v>50</v>
      </c>
      <c r="F182" s="42">
        <f t="shared" si="4"/>
        <v>10.971890017774461</v>
      </c>
    </row>
    <row r="183" spans="1:10" x14ac:dyDescent="0.25">
      <c r="A183" s="13">
        <v>3433</v>
      </c>
      <c r="B183" s="6" t="s">
        <v>77</v>
      </c>
      <c r="C183" s="43">
        <v>3185</v>
      </c>
      <c r="D183" s="43">
        <f>21127.03</f>
        <v>21127.03</v>
      </c>
      <c r="E183" s="43">
        <v>20898.901000000002</v>
      </c>
      <c r="F183" s="42">
        <f t="shared" si="4"/>
        <v>98.920203171008907</v>
      </c>
    </row>
    <row r="184" spans="1:10" x14ac:dyDescent="0.25">
      <c r="A184" s="13">
        <v>3434</v>
      </c>
      <c r="B184" s="6" t="s">
        <v>78</v>
      </c>
      <c r="C184" s="43">
        <v>5181</v>
      </c>
      <c r="D184" s="43">
        <v>20550</v>
      </c>
      <c r="E184" s="43">
        <v>16447.73</v>
      </c>
      <c r="F184" s="42">
        <f t="shared" si="4"/>
        <v>80.037615571776158</v>
      </c>
    </row>
    <row r="185" spans="1:10" x14ac:dyDescent="0.25">
      <c r="A185" s="3">
        <v>372</v>
      </c>
      <c r="B185" s="8" t="s">
        <v>126</v>
      </c>
      <c r="C185" s="42">
        <v>154955</v>
      </c>
      <c r="D185" s="42">
        <f>D186</f>
        <v>146000</v>
      </c>
      <c r="E185" s="42">
        <f>E186</f>
        <v>143982.15000000002</v>
      </c>
      <c r="F185" s="42">
        <f t="shared" si="4"/>
        <v>98.617910958904119</v>
      </c>
    </row>
    <row r="186" spans="1:10" x14ac:dyDescent="0.25">
      <c r="A186" s="13">
        <v>3722</v>
      </c>
      <c r="B186" s="6" t="s">
        <v>80</v>
      </c>
      <c r="C186" s="43">
        <v>154955</v>
      </c>
      <c r="D186" s="43">
        <f>95000+51000</f>
        <v>146000</v>
      </c>
      <c r="E186" s="43">
        <f>41428.55+103053.97-500.37</f>
        <v>143982.15000000002</v>
      </c>
      <c r="F186" s="42">
        <f t="shared" si="4"/>
        <v>98.617910958904119</v>
      </c>
      <c r="I186" s="53">
        <f>E185+E127+E88+E56+E53</f>
        <v>375725.15</v>
      </c>
      <c r="J186">
        <f>376226-375725.63</f>
        <v>500.36999999999534</v>
      </c>
    </row>
    <row r="187" spans="1:10" x14ac:dyDescent="0.25">
      <c r="A187" s="3">
        <v>38</v>
      </c>
      <c r="B187" s="8" t="s">
        <v>40</v>
      </c>
      <c r="C187" s="42">
        <v>349</v>
      </c>
      <c r="D187" s="42"/>
      <c r="E187" s="42">
        <v>0</v>
      </c>
      <c r="F187" s="42"/>
    </row>
    <row r="188" spans="1:10" x14ac:dyDescent="0.25">
      <c r="A188" s="3">
        <v>381</v>
      </c>
      <c r="B188" s="8" t="s">
        <v>81</v>
      </c>
      <c r="C188" s="42">
        <v>349</v>
      </c>
      <c r="D188" s="42"/>
      <c r="E188" s="42">
        <v>0</v>
      </c>
      <c r="F188" s="42"/>
    </row>
    <row r="189" spans="1:10" x14ac:dyDescent="0.25">
      <c r="A189" s="13">
        <v>3812</v>
      </c>
      <c r="B189" s="6" t="s">
        <v>83</v>
      </c>
      <c r="C189" s="43">
        <v>348</v>
      </c>
      <c r="D189" s="43"/>
      <c r="E189" s="43"/>
      <c r="F189" s="42"/>
    </row>
    <row r="190" spans="1:10" x14ac:dyDescent="0.25">
      <c r="A190" s="3">
        <v>4</v>
      </c>
      <c r="B190" s="8" t="s">
        <v>90</v>
      </c>
      <c r="C190" s="42"/>
      <c r="D190" s="42"/>
      <c r="E190" s="42"/>
      <c r="F190" s="42"/>
    </row>
    <row r="191" spans="1:10" x14ac:dyDescent="0.25">
      <c r="A191" s="3">
        <v>421</v>
      </c>
      <c r="B191" s="8" t="s">
        <v>85</v>
      </c>
      <c r="C191" s="42"/>
      <c r="D191" s="42"/>
      <c r="E191" s="42">
        <v>0</v>
      </c>
      <c r="F191" s="42"/>
    </row>
    <row r="192" spans="1:10" s="18" customFormat="1" x14ac:dyDescent="0.25">
      <c r="A192" s="3">
        <v>422</v>
      </c>
      <c r="B192" s="8" t="s">
        <v>84</v>
      </c>
      <c r="C192" s="42">
        <f t="shared" ref="C192:D192" si="6">C193</f>
        <v>0</v>
      </c>
      <c r="D192" s="42">
        <f t="shared" si="6"/>
        <v>0</v>
      </c>
      <c r="E192" s="42">
        <f>E193</f>
        <v>12038.2</v>
      </c>
      <c r="F192" s="42"/>
    </row>
    <row r="193" spans="1:10" x14ac:dyDescent="0.25">
      <c r="A193" s="13">
        <v>4221</v>
      </c>
      <c r="B193" s="6" t="s">
        <v>86</v>
      </c>
      <c r="C193" s="43"/>
      <c r="D193" s="43"/>
      <c r="E193" s="43">
        <v>12038.2</v>
      </c>
      <c r="F193" s="42"/>
    </row>
    <row r="194" spans="1:10" x14ac:dyDescent="0.25">
      <c r="A194" s="13">
        <v>4222</v>
      </c>
      <c r="B194" s="6" t="s">
        <v>87</v>
      </c>
      <c r="C194" s="43"/>
      <c r="D194" s="43"/>
      <c r="E194" s="43"/>
      <c r="F194" s="42"/>
    </row>
    <row r="195" spans="1:10" x14ac:dyDescent="0.25">
      <c r="A195" s="3">
        <v>424</v>
      </c>
      <c r="B195" s="8" t="s">
        <v>88</v>
      </c>
      <c r="C195" s="42">
        <v>191645</v>
      </c>
      <c r="D195" s="42">
        <v>250000</v>
      </c>
      <c r="E195" s="42">
        <v>244139</v>
      </c>
      <c r="F195" s="42">
        <f t="shared" si="4"/>
        <v>97.655599999999993</v>
      </c>
    </row>
    <row r="196" spans="1:10" x14ac:dyDescent="0.25">
      <c r="A196" s="13">
        <v>4241</v>
      </c>
      <c r="B196" s="6" t="s">
        <v>89</v>
      </c>
      <c r="C196" s="43">
        <v>191645</v>
      </c>
      <c r="D196" s="43">
        <v>250000</v>
      </c>
      <c r="E196" s="43">
        <v>244138.64</v>
      </c>
      <c r="F196" s="42">
        <f t="shared" si="4"/>
        <v>97.655456000000001</v>
      </c>
      <c r="I196">
        <v>17422992.82</v>
      </c>
    </row>
    <row r="197" spans="1:10" x14ac:dyDescent="0.25">
      <c r="A197" s="13"/>
      <c r="B197" s="9" t="s">
        <v>99</v>
      </c>
      <c r="C197" s="43">
        <v>12718482</v>
      </c>
      <c r="D197" s="43">
        <f>D137+D147+D180+D185+D188+D191+D192+D195</f>
        <v>14093064.77</v>
      </c>
      <c r="E197" s="43">
        <f>E137+E147+E180+E185+E188+E191+E192+E195</f>
        <v>14315656.160999998</v>
      </c>
      <c r="F197" s="42">
        <f t="shared" si="4"/>
        <v>101.57943921093609</v>
      </c>
      <c r="H197">
        <f>2214135+274326+630946</f>
        <v>3119407</v>
      </c>
      <c r="I197" s="53">
        <f>E197+E132+E95+E69</f>
        <v>17422993.310999997</v>
      </c>
      <c r="J197" s="53">
        <f>I197-I196</f>
        <v>0.49099999666213989</v>
      </c>
    </row>
    <row r="198" spans="1:10" x14ac:dyDescent="0.25">
      <c r="I198" s="5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dio</vt:lpstr>
      <vt:lpstr>izvršenje finacijskog plana</vt:lpstr>
      <vt:lpstr>izvršenje - klasifikacija i izv</vt:lpstr>
      <vt:lpstr>rashodi po izvorima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2023-03-14T06:38:25Z</cp:lastPrinted>
  <dcterms:created xsi:type="dcterms:W3CDTF">2022-03-08T07:18:33Z</dcterms:created>
  <dcterms:modified xsi:type="dcterms:W3CDTF">2023-03-14T06:43:32Z</dcterms:modified>
</cp:coreProperties>
</file>